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OPĆI PODACI" sheetId="1" r:id="rId1"/>
    <sheet name="RDG " sheetId="2" r:id="rId2"/>
    <sheet name="Bilanca 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<sst xmlns="http://schemas.openxmlformats.org/spreadsheetml/2006/main" count="342" uniqueCount="311">
  <si>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</si>
  <si>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</si>
  <si>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</si>
  <si>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</si>
  <si>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</si>
  <si>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</si>
  <si>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</si>
  <si>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</si>
  <si>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</si>
  <si>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</si>
  <si>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</si>
  <si>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</si>
  <si>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</si>
  <si>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</si>
  <si>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</si>
  <si>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</si>
  <si>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</si>
  <si>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</si>
  <si>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</si>
  <si>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</si>
  <si>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</si>
  <si>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</si>
  <si>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</si>
  <si>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</si>
  <si>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</si>
  <si>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</si>
  <si>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</si>
  <si>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</si>
  <si>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</si>
  <si>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</si>
  <si>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</si>
  <si>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</si>
  <si>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</si>
  <si>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</si>
  <si>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</si>
  <si>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</si>
  <si>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</si>
  <si>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</si>
  <si>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</si>
  <si>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</si>
  <si>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</si>
  <si>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</si>
  <si>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</si>
  <si>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</si>
  <si>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</si>
  <si>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</si>
  <si>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</si>
  <si>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</si>
  <si>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</si>
  <si>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</si>
  <si>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</si>
  <si>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</si>
  <si>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</si>
  <si>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</si>
  <si>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</si>
  <si>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</si>
  <si>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</si>
  <si>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</si>
  <si>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</si>
  <si>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</si>
  <si>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</si>
  <si>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</si>
  <si>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</si>
  <si>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</si>
  <si>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</si>
  <si>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</si>
  <si>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</si>
  <si>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</si>
  <si>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</si>
  <si>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</si>
  <si>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</si>
  <si>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</si>
  <si>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</si>
  <si>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</si>
  <si>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</si>
  <si>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</si>
  <si>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</si>
  <si>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</si>
  <si>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</si>
  <si>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</si>
  <si>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</si>
  <si>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</si>
  <si>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</si>
  <si>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</si>
  <si>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</si>
  <si>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</si>
  <si>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</si>
  <si>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</si>
  <si>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</si>
  <si>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</si>
  <si>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</si>
  <si>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</si>
  <si>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</si>
  <si>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</si>
  <si>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</si>
  <si>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</si>
  <si>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</si>
  <si>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</si>
  <si>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</si>
  <si>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</si>
  <si>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</si>
  <si>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</si>
  <si>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</si>
  <si>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</si>
  <si>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</si>
  <si>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</si>
  <si>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</si>
  <si>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</si>
  <si>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</si>
  <si>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</si>
  <si>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</si>
  <si>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</si>
  <si>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</si>
  <si>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</si>
  <si>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</si>
  <si>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</si>
  <si>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</si>
  <si>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</si>
  <si>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</si>
  <si>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</si>
  <si>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</si>
  <si>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</si>
  <si>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</si>
  <si>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</si>
  <si>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</si>
  <si>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</si>
  <si>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</si>
  <si>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</si>
  <si>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</si>
  <si>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</si>
  <si>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</si>
  <si>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</si>
  <si>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</si>
  <si>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</si>
  <si>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</si>
  <si>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</si>
  <si>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</si>
  <si>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</si>
  <si>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</si>
  <si>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</si>
  <si>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</si>
  <si>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</si>
  <si>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</si>
  <si>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</si>
  <si>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</si>
  <si>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</si>
  <si>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</si>
  <si>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</si>
  <si>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</si>
  <si>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</si>
  <si>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</si>
  <si>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</si>
  <si>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</si>
  <si>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</si>
  <si>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</si>
  <si>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</si>
  <si>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</si>
  <si>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</si>
  <si>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</si>
  <si>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</si>
  <si>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</si>
  <si>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</si>
  <si>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</si>
  <si>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</si>
  <si>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</si>
  <si>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</si>
  <si>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</si>
  <si>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</si>
  <si>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</si>
  <si>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</si>
  <si>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</si>
  <si>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</si>
  <si>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</si>
  <si>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</si>
  <si>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</si>
  <si>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</si>
  <si>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</si>
  <si>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</si>
  <si>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</si>
  <si>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</si>
  <si>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</si>
  <si>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</si>
  <si>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</si>
  <si>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</si>
  <si>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</si>
  <si>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</si>
  <si>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</si>
  <si>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</si>
  <si>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</si>
  <si>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</si>
  <si>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</si>
  <si>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</si>
  <si>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</si>
  <si>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</si>
  <si>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</si>
  <si>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</si>
  <si>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</si>
  <si>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</si>
  <si>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</si>
  <si>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</si>
  <si>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</si>
  <si>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</si>
  <si>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</si>
  <si>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</si>
  <si>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</si>
  <si>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</si>
  <si>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</si>
  <si>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</si>
  <si>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</si>
  <si>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</si>
  <si>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</si>
  <si>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</si>
  <si>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</si>
  <si>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</si>
  <si>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</si>
  <si>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</si>
  <si>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</si>
  <si>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</si>
  <si>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</si>
  <si>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</si>
  <si>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</si>
  <si>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</si>
  <si>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</si>
  <si>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</si>
  <si>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</si>
  <si>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</si>
  <si>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</si>
  <si>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</si>
  <si>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</si>
  <si>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</si>
  <si>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</si>
  <si>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</si>
  <si>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</si>
  <si>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</si>
  <si>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</si>
  <si>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</si>
  <si>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</si>
  <si>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</si>
  <si>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</si>
  <si>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</si>
  <si>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</si>
  <si>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</si>
  <si>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</si>
  <si>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</si>
  <si>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</si>
  <si>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</si>
  <si>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</si>
  <si>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</si>
  <si>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</si>
  <si>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</si>
  <si>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</si>
  <si>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</si>
  <si>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</si>
  <si>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</si>
  <si>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</si>
  <si>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</si>
  <si>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</si>
  <si>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</si>
  <si>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</si>
  <si>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</si>
  <si>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</si>
  <si>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</si>
  <si>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</si>
  <si>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</si>
  <si>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</si>
  <si>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</si>
  <si>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</si>
  <si>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</si>
  <si>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</si>
  <si>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</si>
  <si>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</si>
  <si>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</si>
  <si>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</si>
  <si>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</si>
  <si>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</si>
  <si>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</si>
  <si>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</si>
  <si>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</si>
  <si>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</si>
  <si>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</si>
  <si>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</si>
  <si>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</si>
  <si>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SLOBODNA DALMACIJA d.d.</t>
  </si>
  <si>
    <t>Kumulativno</t>
  </si>
  <si>
    <t>Tromjesečje</t>
  </si>
  <si>
    <t>Obveznik: 35075764438 SLOBODNA DALMACIJA d.d.</t>
  </si>
  <si>
    <t>AOP
oznaka</t>
  </si>
  <si>
    <t>DODATAK BILANCI (popunjava poduzetnik koji sastavlja konsolidirani financijski izvještaj)</t>
  </si>
  <si>
    <t>RAČUN DOBITI I GUBITKA (Privremni, nerevidirani)</t>
  </si>
  <si>
    <t>1.1.2013.</t>
  </si>
  <si>
    <t>31.12.2013.</t>
  </si>
  <si>
    <t>u razdoblju 1.1.2013. do 31.12.2013.</t>
  </si>
  <si>
    <t>kontrola</t>
  </si>
  <si>
    <t>stanje na dan 31.12.2013.</t>
  </si>
  <si>
    <t xml:space="preserve">Obveznik: SLOBODNA DALMACIJA d.d. </t>
  </si>
  <si>
    <t>Rbr. Bilješke</t>
  </si>
  <si>
    <t>5</t>
  </si>
  <si>
    <t>Miroslav Ivić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</si>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</sst>
</file>

<file path=xl/styles.xml><?xml version="1.0" encoding="utf-8"?>
<styleSheet xmlns="http://schemas.openxmlformats.org/spreadsheetml/2006/main">
  <numFmts count="6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\ &quot;KM&quot;;\-#,##0\ &quot;KM&quot;"/>
    <numFmt numFmtId="195" formatCode="#,##0\ &quot;KM&quot;;[Red]\-#,##0\ &quot;KM&quot;"/>
    <numFmt numFmtId="196" formatCode="#,##0.00\ &quot;KM&quot;;\-#,##0.00\ &quot;KM&quot;"/>
    <numFmt numFmtId="197" formatCode="#,##0.00\ &quot;KM&quot;;[Red]\-#,##0.00\ &quot;KM&quot;"/>
    <numFmt numFmtId="198" formatCode="_-* #,##0\ &quot;KM&quot;_-;\-* #,##0\ &quot;KM&quot;_-;_-* &quot;-&quot;\ &quot;KM&quot;_-;_-@_-"/>
    <numFmt numFmtId="199" formatCode="_-* #,##0\ _K_M_-;\-* #,##0\ _K_M_-;_-* &quot;-&quot;\ _K_M_-;_-@_-"/>
    <numFmt numFmtId="200" formatCode="_-* #,##0.00\ &quot;KM&quot;_-;\-* #,##0.00\ &quot;KM&quot;_-;_-* &quot;-&quot;??\ &quot;KM&quot;_-;_-@_-"/>
    <numFmt numFmtId="201" formatCode="_-* #,##0.00\ _K_M_-;\-* #,##0.00\ _K_M_-;_-* &quot;-&quot;??\ _K_M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1A]mmmm\-yy;@"/>
    <numFmt numFmtId="207" formatCode="mmm/yyyy"/>
    <numFmt numFmtId="208" formatCode="[$-41A]mmm\-yy;@"/>
    <numFmt numFmtId="209" formatCode="#,##0.0000"/>
    <numFmt numFmtId="210" formatCode="#,##0.00\ &quot;kn&quot;"/>
    <numFmt numFmtId="211" formatCode="#,##0.00\ _k_n"/>
    <numFmt numFmtId="212" formatCode="0.000"/>
    <numFmt numFmtId="213" formatCode="#,##0\ _k_n"/>
    <numFmt numFmtId="214" formatCode="d/m/yy/;@"/>
    <numFmt numFmtId="215" formatCode="dd/mm/yy/;@"/>
  </numFmts>
  <fonts count="3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16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top"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6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3" fillId="24" borderId="13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Alignment="1">
      <alignment/>
    </xf>
    <xf numFmtId="3" fontId="2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2" fillId="21" borderId="19" xfId="0" applyFont="1" applyFill="1" applyBorder="1" applyAlignment="1">
      <alignment horizontal="center" vertical="center" wrapText="1"/>
    </xf>
    <xf numFmtId="0" fontId="2" fillId="21" borderId="20" xfId="0" applyFont="1" applyFill="1" applyBorder="1" applyAlignment="1" applyProtection="1">
      <alignment horizontal="center" vertical="center" wrapText="1"/>
      <protection hidden="1"/>
    </xf>
    <xf numFmtId="0" fontId="2" fillId="21" borderId="21" xfId="0" applyFont="1" applyFill="1" applyBorder="1" applyAlignment="1">
      <alignment horizontal="center" vertical="center"/>
    </xf>
    <xf numFmtId="0" fontId="2" fillId="21" borderId="21" xfId="0" applyFont="1" applyFill="1" applyBorder="1" applyAlignment="1" applyProtection="1">
      <alignment horizontal="center" vertical="center"/>
      <protection hidden="1"/>
    </xf>
    <xf numFmtId="49" fontId="2" fillId="21" borderId="21" xfId="0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2" fillId="0" borderId="14" xfId="0" applyFont="1" applyFill="1" applyBorder="1" applyAlignment="1" applyProtection="1">
      <alignment vertical="center" wrapText="1"/>
      <protection hidden="1"/>
    </xf>
    <xf numFmtId="14" fontId="2" fillId="0" borderId="14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 applyProtection="1">
      <alignment horizontal="center" vertical="center"/>
      <protection hidden="1"/>
    </xf>
    <xf numFmtId="14" fontId="27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 applyProtection="1">
      <alignment horizontal="right"/>
      <protection hidden="1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 applyProtection="1">
      <alignment/>
      <protection hidden="1"/>
    </xf>
    <xf numFmtId="3" fontId="3" fillId="0" borderId="1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26" fillId="0" borderId="13" xfId="0" applyNumberFormat="1" applyFont="1" applyFill="1" applyBorder="1" applyAlignment="1" applyProtection="1">
      <alignment vertical="center"/>
      <protection hidden="1"/>
    </xf>
    <xf numFmtId="3" fontId="26" fillId="0" borderId="10" xfId="0" applyNumberFormat="1" applyFont="1" applyFill="1" applyBorder="1" applyAlignment="1" applyProtection="1">
      <alignment vertical="center"/>
      <protection locked="0"/>
    </xf>
    <xf numFmtId="3" fontId="26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center"/>
    </xf>
    <xf numFmtId="0" fontId="24" fillId="0" borderId="0" xfId="15" applyFont="1">
      <alignment vertical="top"/>
      <protection/>
    </xf>
    <xf numFmtId="0" fontId="24" fillId="0" borderId="0" xfId="15" applyFont="1" applyAlignment="1">
      <alignment/>
      <protection/>
    </xf>
    <xf numFmtId="0" fontId="3" fillId="0" borderId="0" xfId="15" applyFont="1" applyAlignment="1">
      <alignment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3" fontId="2" fillId="0" borderId="22" xfId="0" applyNumberFormat="1" applyFont="1" applyFill="1" applyBorder="1" applyAlignment="1">
      <alignment horizontal="left" vertical="center" wrapText="1"/>
    </xf>
    <xf numFmtId="3" fontId="2" fillId="0" borderId="27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3" fontId="2" fillId="0" borderId="22" xfId="0" applyNumberFormat="1" applyFont="1" applyFill="1" applyBorder="1" applyAlignment="1">
      <alignment horizontal="left" vertical="center" wrapText="1" indent="1"/>
    </xf>
    <xf numFmtId="3" fontId="2" fillId="0" borderId="27" xfId="0" applyNumberFormat="1" applyFont="1" applyFill="1" applyBorder="1" applyAlignment="1">
      <alignment horizontal="left" vertical="center" wrapText="1" indent="1"/>
    </xf>
    <xf numFmtId="3" fontId="2" fillId="0" borderId="28" xfId="0" applyNumberFormat="1" applyFont="1" applyFill="1" applyBorder="1" applyAlignment="1">
      <alignment horizontal="left" vertical="center" wrapText="1" indent="1"/>
    </xf>
    <xf numFmtId="3" fontId="2" fillId="0" borderId="33" xfId="0" applyNumberFormat="1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left" vertical="center" wrapText="1"/>
    </xf>
    <xf numFmtId="3" fontId="2" fillId="0" borderId="34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2" fillId="0" borderId="35" xfId="0" applyNumberFormat="1" applyFont="1" applyFill="1" applyBorder="1" applyAlignment="1">
      <alignment horizontal="left" vertical="center" wrapText="1"/>
    </xf>
    <xf numFmtId="3" fontId="3" fillId="0" borderId="36" xfId="0" applyNumberFormat="1" applyFont="1" applyFill="1" applyBorder="1" applyAlignment="1">
      <alignment horizontal="left" vertical="center" wrapText="1" indent="1"/>
    </xf>
    <xf numFmtId="3" fontId="3" fillId="0" borderId="37" xfId="0" applyNumberFormat="1" applyFont="1" applyFill="1" applyBorder="1" applyAlignment="1">
      <alignment horizontal="left" vertical="center" wrapText="1" indent="1"/>
    </xf>
    <xf numFmtId="3" fontId="3" fillId="0" borderId="38" xfId="0" applyNumberFormat="1" applyFont="1" applyFill="1" applyBorder="1" applyAlignment="1">
      <alignment horizontal="left" vertical="center" wrapText="1" indent="1"/>
    </xf>
    <xf numFmtId="3" fontId="3" fillId="0" borderId="22" xfId="0" applyNumberFormat="1" applyFont="1" applyFill="1" applyBorder="1" applyAlignment="1">
      <alignment horizontal="left" vertical="center" wrapText="1" indent="1"/>
    </xf>
    <xf numFmtId="3" fontId="3" fillId="0" borderId="27" xfId="0" applyNumberFormat="1" applyFont="1" applyFill="1" applyBorder="1" applyAlignment="1">
      <alignment horizontal="left" vertical="center" wrapText="1" indent="1"/>
    </xf>
    <xf numFmtId="3" fontId="3" fillId="0" borderId="28" xfId="0" applyNumberFormat="1" applyFont="1" applyFill="1" applyBorder="1" applyAlignment="1">
      <alignment horizontal="left" vertical="center" wrapText="1" indent="1"/>
    </xf>
    <xf numFmtId="3" fontId="3" fillId="0" borderId="22" xfId="0" applyNumberFormat="1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left" vertical="center" wrapText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vertical="center" wrapText="1"/>
      <protection hidden="1"/>
    </xf>
    <xf numFmtId="0" fontId="2" fillId="0" borderId="39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3" fillId="25" borderId="35" xfId="0" applyFont="1" applyFill="1" applyBorder="1" applyAlignment="1">
      <alignment vertical="center" wrapText="1"/>
    </xf>
    <xf numFmtId="0" fontId="3" fillId="25" borderId="39" xfId="0" applyFont="1" applyFill="1" applyBorder="1" applyAlignment="1">
      <alignment vertical="center" wrapText="1"/>
    </xf>
    <xf numFmtId="0" fontId="2" fillId="21" borderId="19" xfId="0" applyFont="1" applyFill="1" applyBorder="1" applyAlignment="1">
      <alignment horizontal="center"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 applyProtection="1">
      <alignment vertical="center" wrapText="1"/>
      <protection hidden="1"/>
    </xf>
    <xf numFmtId="0" fontId="2" fillId="24" borderId="35" xfId="0" applyFont="1" applyFill="1" applyBorder="1" applyAlignment="1" applyProtection="1">
      <alignment vertical="center" wrapText="1"/>
      <protection hidden="1"/>
    </xf>
    <xf numFmtId="0" fontId="2" fillId="24" borderId="39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0" xfId="1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0" xfId="15" applyFont="1" applyFill="1" applyBorder="1" applyAlignment="1" applyProtection="1">
      <alignment horizontal="center" vertical="center"/>
      <protection hidden="1"/>
    </xf>
    <xf numFmtId="14" fontId="2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Fill="1" applyBorder="1" applyAlignment="1">
      <alignment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15" applyFont="1" applyAlignment="1">
      <alignment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3" fillId="0" borderId="0" xfId="15" applyFont="1" applyBorder="1" applyAlignment="1">
      <alignment horizontal="justify" vertical="top" wrapText="1"/>
      <protection/>
    </xf>
    <xf numFmtId="0" fontId="24" fillId="0" borderId="0" xfId="15" applyFont="1" applyAlignment="1">
      <alignment/>
      <protection/>
    </xf>
    <xf numFmtId="0" fontId="28" fillId="0" borderId="29" xfId="58" applyFont="1" applyBorder="1" applyAlignment="1">
      <alignment/>
      <protection/>
    </xf>
    <xf numFmtId="0" fontId="28" fillId="0" borderId="30" xfId="58" applyFont="1" applyBorder="1" applyAlignment="1">
      <alignment/>
      <protection/>
    </xf>
    <xf numFmtId="0" fontId="0" fillId="0" borderId="30" xfId="58" applyFont="1" applyBorder="1">
      <alignment/>
      <protection/>
    </xf>
    <xf numFmtId="0" fontId="0" fillId="0" borderId="42" xfId="58" applyFont="1" applyBorder="1">
      <alignment/>
      <protection/>
    </xf>
    <xf numFmtId="0" fontId="0" fillId="0" borderId="0" xfId="58" applyFont="1">
      <alignment/>
      <protection/>
    </xf>
    <xf numFmtId="0" fontId="28" fillId="0" borderId="43" xfId="58" applyFont="1" applyFill="1" applyBorder="1" applyAlignment="1" applyProtection="1">
      <alignment horizontal="left" vertical="center" wrapText="1"/>
      <protection hidden="1"/>
    </xf>
    <xf numFmtId="0" fontId="28" fillId="0" borderId="0" xfId="58" applyFont="1" applyFill="1" applyBorder="1" applyAlignment="1" applyProtection="1">
      <alignment horizontal="left" vertical="center" wrapText="1"/>
      <protection hidden="1"/>
    </xf>
    <xf numFmtId="0" fontId="28" fillId="0" borderId="44" xfId="58" applyFont="1" applyFill="1" applyBorder="1" applyAlignment="1" applyProtection="1">
      <alignment horizontal="left" vertical="center" wrapText="1"/>
      <protection hidden="1"/>
    </xf>
    <xf numFmtId="14" fontId="28" fillId="0" borderId="14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43" xfId="58" applyFont="1" applyFill="1" applyBorder="1" applyAlignment="1" applyProtection="1">
      <alignment horizontal="center" vertical="center"/>
      <protection hidden="1" locked="0"/>
    </xf>
    <xf numFmtId="0" fontId="28" fillId="0" borderId="0" xfId="58" applyFont="1" applyFill="1" applyBorder="1" applyAlignment="1" applyProtection="1">
      <alignment horizontal="left" vertical="center"/>
      <protection hidden="1"/>
    </xf>
    <xf numFmtId="0" fontId="0" fillId="0" borderId="44" xfId="58" applyFont="1" applyFill="1" applyBorder="1" applyAlignment="1" applyProtection="1">
      <alignment horizontal="left" vertical="center" wrapText="1"/>
      <protection hidden="1"/>
    </xf>
    <xf numFmtId="0" fontId="0" fillId="0" borderId="43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 wrapText="1"/>
      <protection hidden="1"/>
    </xf>
    <xf numFmtId="0" fontId="0" fillId="0" borderId="44" xfId="58" applyFont="1" applyBorder="1" applyAlignment="1" applyProtection="1">
      <alignment horizontal="left" vertical="center" wrapText="1"/>
      <protection hidden="1"/>
    </xf>
    <xf numFmtId="0" fontId="28" fillId="0" borderId="43" xfId="58" applyFont="1" applyBorder="1" applyAlignment="1" applyProtection="1">
      <alignment horizontal="center" vertical="center" wrapText="1"/>
      <protection hidden="1"/>
    </xf>
    <xf numFmtId="0" fontId="28" fillId="0" borderId="0" xfId="58" applyFont="1" applyBorder="1" applyAlignment="1" applyProtection="1">
      <alignment horizontal="center" vertical="center" wrapText="1"/>
      <protection hidden="1"/>
    </xf>
    <xf numFmtId="0" fontId="28" fillId="0" borderId="44" xfId="58" applyFont="1" applyBorder="1" applyAlignment="1" applyProtection="1">
      <alignment horizontal="center" vertical="center" wrapText="1"/>
      <protection hidden="1"/>
    </xf>
    <xf numFmtId="0" fontId="0" fillId="0" borderId="43" xfId="58" applyFont="1" applyBorder="1" applyProtection="1">
      <alignment/>
      <protection hidden="1"/>
    </xf>
    <xf numFmtId="0" fontId="0" fillId="0" borderId="0" xfId="58" applyFont="1" applyBorder="1" applyAlignment="1" applyProtection="1">
      <alignment/>
      <protection hidden="1"/>
    </xf>
    <xf numFmtId="0" fontId="28" fillId="0" borderId="0" xfId="58" applyFont="1" applyBorder="1" applyAlignment="1" applyProtection="1">
      <alignment horizontal="right" vertical="center" wrapText="1"/>
      <protection hidden="1"/>
    </xf>
    <xf numFmtId="0" fontId="28" fillId="0" borderId="0" xfId="58" applyFont="1" applyBorder="1" applyAlignment="1" applyProtection="1">
      <alignment horizontal="right"/>
      <protection hidden="1"/>
    </xf>
    <xf numFmtId="0" fontId="28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44" xfId="58" applyFont="1" applyFill="1" applyBorder="1" applyAlignment="1" applyProtection="1">
      <alignment/>
      <protection hidden="1"/>
    </xf>
    <xf numFmtId="0" fontId="28" fillId="0" borderId="0" xfId="58" applyFont="1" applyAlignment="1">
      <alignment wrapText="1"/>
      <protection/>
    </xf>
    <xf numFmtId="0" fontId="0" fillId="0" borderId="43" xfId="58" applyFont="1" applyBorder="1" applyAlignment="1" applyProtection="1">
      <alignment horizontal="right" vertical="center"/>
      <protection hidden="1"/>
    </xf>
    <xf numFmtId="0" fontId="0" fillId="0" borderId="44" xfId="58" applyFont="1" applyBorder="1" applyAlignment="1" applyProtection="1">
      <alignment horizontal="right"/>
      <protection hidden="1"/>
    </xf>
    <xf numFmtId="49" fontId="28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28" fillId="0" borderId="41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 applyProtection="1">
      <alignment wrapText="1"/>
      <protection hidden="1"/>
    </xf>
    <xf numFmtId="0" fontId="0" fillId="0" borderId="44" xfId="58" applyFont="1" applyBorder="1" applyAlignment="1" applyProtection="1">
      <alignment wrapText="1"/>
      <protection hidden="1"/>
    </xf>
    <xf numFmtId="0" fontId="0" fillId="0" borderId="43" xfId="58" applyFont="1" applyBorder="1" applyAlignment="1" applyProtection="1">
      <alignment horizontal="right"/>
      <protection hidden="1"/>
    </xf>
    <xf numFmtId="0" fontId="0" fillId="0" borderId="0" xfId="58" applyFont="1" applyBorder="1" applyAlignment="1" applyProtection="1">
      <alignment horizontal="right"/>
      <protection hidden="1"/>
    </xf>
    <xf numFmtId="0" fontId="0" fillId="0" borderId="0" xfId="58" applyFont="1" applyBorder="1" applyProtection="1">
      <alignment/>
      <protection hidden="1"/>
    </xf>
    <xf numFmtId="0" fontId="0" fillId="0" borderId="43" xfId="58" applyFont="1" applyBorder="1" applyAlignment="1" applyProtection="1">
      <alignment horizontal="right" vertical="center" wrapText="1"/>
      <protection hidden="1"/>
    </xf>
    <xf numFmtId="0" fontId="0" fillId="0" borderId="44" xfId="58" applyFont="1" applyBorder="1" applyAlignment="1" applyProtection="1">
      <alignment horizontal="right" wrapText="1"/>
      <protection hidden="1"/>
    </xf>
    <xf numFmtId="0" fontId="0" fillId="0" borderId="44" xfId="58" applyFont="1" applyBorder="1" applyProtection="1">
      <alignment/>
      <protection hidden="1"/>
    </xf>
    <xf numFmtId="0" fontId="0" fillId="0" borderId="43" xfId="58" applyFont="1" applyBorder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0" xfId="58" applyFont="1" applyBorder="1" applyAlignment="1" applyProtection="1">
      <alignment horizontal="left"/>
      <protection hidden="1"/>
    </xf>
    <xf numFmtId="0" fontId="0" fillId="0" borderId="0" xfId="58" applyFont="1" applyFill="1" applyBorder="1" applyProtection="1">
      <alignment/>
      <protection hidden="1"/>
    </xf>
    <xf numFmtId="0" fontId="0" fillId="0" borderId="0" xfId="58" applyFont="1" applyBorder="1" applyAlignment="1" applyProtection="1">
      <alignment horizontal="right" wrapText="1"/>
      <protection hidden="1"/>
    </xf>
    <xf numFmtId="0" fontId="0" fillId="0" borderId="43" xfId="58" applyFont="1" applyBorder="1" applyAlignment="1" applyProtection="1">
      <alignment horizontal="right" wrapText="1"/>
      <protection hidden="1"/>
    </xf>
    <xf numFmtId="0" fontId="28" fillId="0" borderId="40" xfId="58" applyFont="1" applyFill="1" applyBorder="1" applyAlignment="1" applyProtection="1">
      <alignment horizontal="left" vertical="center"/>
      <protection hidden="1" locked="0"/>
    </xf>
    <xf numFmtId="0" fontId="0" fillId="0" borderId="18" xfId="58" applyFont="1" applyFill="1" applyBorder="1" applyAlignment="1">
      <alignment horizontal="left" vertical="center"/>
      <protection/>
    </xf>
    <xf numFmtId="0" fontId="0" fillId="0" borderId="41" xfId="58" applyFont="1" applyFill="1" applyBorder="1" applyAlignment="1">
      <alignment horizontal="left" vertical="center"/>
      <protection/>
    </xf>
    <xf numFmtId="0" fontId="0" fillId="0" borderId="0" xfId="58" applyFont="1" applyBorder="1" applyAlignment="1" applyProtection="1">
      <alignment vertical="top"/>
      <protection hidden="1"/>
    </xf>
    <xf numFmtId="1" fontId="28" fillId="0" borderId="40" xfId="58" applyNumberFormat="1" applyFont="1" applyFill="1" applyBorder="1" applyAlignment="1" applyProtection="1">
      <alignment horizontal="center" vertical="center"/>
      <protection hidden="1" locked="0"/>
    </xf>
    <xf numFmtId="1" fontId="28" fillId="0" borderId="41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40" xfId="54" applyFont="1" applyFill="1" applyBorder="1" applyAlignment="1" applyProtection="1">
      <alignment/>
      <protection hidden="1" locked="0"/>
    </xf>
    <xf numFmtId="0" fontId="28" fillId="0" borderId="18" xfId="58" applyFont="1" applyFill="1" applyBorder="1" applyAlignment="1" applyProtection="1">
      <alignment/>
      <protection hidden="1" locked="0"/>
    </xf>
    <xf numFmtId="0" fontId="28" fillId="0" borderId="41" xfId="58" applyFont="1" applyFill="1" applyBorder="1" applyAlignment="1" applyProtection="1">
      <alignment/>
      <protection hidden="1" locked="0"/>
    </xf>
    <xf numFmtId="1" fontId="28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8" applyFont="1" applyFill="1" applyBorder="1" applyAlignment="1">
      <alignment horizontal="left"/>
      <protection/>
    </xf>
    <xf numFmtId="0" fontId="0" fillId="0" borderId="41" xfId="58" applyFont="1" applyFill="1" applyBorder="1" applyAlignment="1">
      <alignment horizontal="left"/>
      <protection/>
    </xf>
    <xf numFmtId="0" fontId="0" fillId="0" borderId="0" xfId="58" applyFont="1" applyBorder="1" applyAlignment="1" applyProtection="1">
      <alignment horizontal="right"/>
      <protection hidden="1"/>
    </xf>
    <xf numFmtId="0" fontId="28" fillId="0" borderId="44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 applyProtection="1">
      <alignment horizontal="right" vertical="center"/>
      <protection hidden="1"/>
    </xf>
    <xf numFmtId="3" fontId="28" fillId="0" borderId="16" xfId="58" applyNumberFormat="1" applyFont="1" applyFill="1" applyBorder="1" applyAlignment="1" applyProtection="1">
      <alignment horizontal="right" vertical="center"/>
      <protection hidden="1" locked="0"/>
    </xf>
    <xf numFmtId="0" fontId="0" fillId="0" borderId="44" xfId="58" applyFont="1" applyBorder="1" applyAlignment="1" applyProtection="1">
      <alignment vertical="top"/>
      <protection hidden="1"/>
    </xf>
    <xf numFmtId="0" fontId="28" fillId="0" borderId="16" xfId="58" applyFont="1" applyFill="1" applyBorder="1" applyAlignment="1" applyProtection="1">
      <alignment horizontal="center" vertical="center"/>
      <protection hidden="1" locked="0"/>
    </xf>
    <xf numFmtId="0" fontId="28" fillId="0" borderId="0" xfId="58" applyFont="1" applyBorder="1" applyAlignment="1" applyProtection="1">
      <alignment vertical="top"/>
      <protection hidden="1"/>
    </xf>
    <xf numFmtId="0" fontId="0" fillId="0" borderId="0" xfId="58" applyFont="1" applyBorder="1">
      <alignment/>
      <protection/>
    </xf>
    <xf numFmtId="0" fontId="0" fillId="0" borderId="0" xfId="58" applyFont="1" applyBorder="1" applyAlignment="1" applyProtection="1">
      <alignment horizontal="right" vertical="center"/>
      <protection hidden="1"/>
    </xf>
    <xf numFmtId="49" fontId="28" fillId="0" borderId="16" xfId="58" applyNumberFormat="1" applyFont="1" applyFill="1" applyBorder="1" applyAlignment="1" applyProtection="1">
      <alignment horizontal="right" vertical="center"/>
      <protection hidden="1" locked="0"/>
    </xf>
    <xf numFmtId="0" fontId="0" fillId="0" borderId="44" xfId="58" applyFont="1" applyBorder="1" applyAlignment="1" applyProtection="1">
      <alignment horizontal="left" vertical="top" wrapText="1"/>
      <protection hidden="1"/>
    </xf>
    <xf numFmtId="0" fontId="0" fillId="0" borderId="43" xfId="58" applyFont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44" xfId="58" applyFont="1" applyBorder="1" applyAlignment="1">
      <alignment horizontal="center"/>
      <protection/>
    </xf>
    <xf numFmtId="0" fontId="0" fillId="0" borderId="43" xfId="58" applyFont="1" applyBorder="1">
      <alignment/>
      <protection/>
    </xf>
    <xf numFmtId="0" fontId="0" fillId="0" borderId="0" xfId="58" applyFont="1" applyBorder="1" applyAlignment="1" applyProtection="1">
      <alignment horizontal="center" vertical="center"/>
      <protection hidden="1" locked="0"/>
    </xf>
    <xf numFmtId="0" fontId="28" fillId="0" borderId="40" xfId="58" applyFont="1" applyFill="1" applyBorder="1" applyAlignment="1" applyProtection="1">
      <alignment horizontal="right" vertical="center"/>
      <protection hidden="1" locked="0"/>
    </xf>
    <xf numFmtId="0" fontId="0" fillId="0" borderId="18" xfId="58" applyFont="1" applyFill="1" applyBorder="1" applyAlignment="1">
      <alignment/>
      <protection/>
    </xf>
    <xf numFmtId="0" fontId="0" fillId="0" borderId="41" xfId="58" applyFont="1" applyFill="1" applyBorder="1" applyAlignment="1">
      <alignment/>
      <protection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0" xfId="58" applyFont="1" applyBorder="1" applyAlignment="1" applyProtection="1">
      <alignment wrapText="1"/>
      <protection hidden="1"/>
    </xf>
    <xf numFmtId="0" fontId="0" fillId="0" borderId="44" xfId="58" applyFont="1" applyBorder="1" applyAlignment="1" applyProtection="1">
      <alignment horizontal="left" vertical="top" indent="2"/>
      <protection hidden="1"/>
    </xf>
    <xf numFmtId="0" fontId="0" fillId="0" borderId="0" xfId="58" applyFont="1" applyBorder="1" applyAlignment="1" applyProtection="1">
      <alignment vertical="top" wrapText="1"/>
      <protection hidden="1"/>
    </xf>
    <xf numFmtId="0" fontId="0" fillId="0" borderId="44" xfId="58" applyFont="1" applyBorder="1" applyAlignment="1" applyProtection="1">
      <alignment horizontal="left" vertical="top" wrapText="1" indent="2"/>
      <protection hidden="1"/>
    </xf>
    <xf numFmtId="0" fontId="0" fillId="0" borderId="43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right" vertical="top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0" fillId="0" borderId="0" xfId="58" applyFont="1" applyBorder="1" applyAlignment="1" applyProtection="1">
      <alignment horizontal="center" vertical="top"/>
      <protection hidden="1"/>
    </xf>
    <xf numFmtId="0" fontId="0" fillId="0" borderId="0" xfId="58" applyFont="1" applyBorder="1" applyAlignment="1" applyProtection="1">
      <alignment horizontal="center"/>
      <protection hidden="1"/>
    </xf>
    <xf numFmtId="0" fontId="28" fillId="0" borderId="43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Border="1" applyAlignment="1">
      <alignment/>
      <protection/>
    </xf>
    <xf numFmtId="0" fontId="28" fillId="0" borderId="0" xfId="58" applyFont="1" applyFill="1" applyBorder="1" applyAlignment="1" applyProtection="1">
      <alignment horizontal="right" vertical="center"/>
      <protection hidden="1" locked="0"/>
    </xf>
    <xf numFmtId="0" fontId="0" fillId="0" borderId="0" xfId="58" applyFont="1" applyFill="1" applyBorder="1" applyAlignment="1">
      <alignment/>
      <protection/>
    </xf>
    <xf numFmtId="49" fontId="28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28" fillId="0" borderId="44" xfId="58" applyNumberFormat="1" applyFont="1" applyBorder="1" applyAlignment="1" applyProtection="1">
      <alignment horizontal="center" vertical="center"/>
      <protection hidden="1" locked="0"/>
    </xf>
    <xf numFmtId="0" fontId="0" fillId="0" borderId="43" xfId="58" applyFont="1" applyBorder="1" applyAlignment="1" applyProtection="1">
      <alignment horizontal="left" vertical="top"/>
      <protection hidden="1"/>
    </xf>
    <xf numFmtId="0" fontId="0" fillId="0" borderId="0" xfId="58" applyFont="1" applyBorder="1" applyAlignment="1" applyProtection="1">
      <alignment horizontal="left" vertical="top"/>
      <protection hidden="1"/>
    </xf>
    <xf numFmtId="0" fontId="0" fillId="0" borderId="44" xfId="58" applyFont="1" applyBorder="1" applyAlignment="1" applyProtection="1">
      <alignment horizontal="left"/>
      <protection hidden="1"/>
    </xf>
    <xf numFmtId="0" fontId="0" fillId="0" borderId="30" xfId="58" applyFont="1" applyBorder="1" applyAlignment="1" applyProtection="1">
      <alignment horizontal="center"/>
      <protection hidden="1"/>
    </xf>
    <xf numFmtId="0" fontId="0" fillId="0" borderId="30" xfId="58" applyFont="1" applyBorder="1" applyProtection="1">
      <alignment/>
      <protection hidden="1"/>
    </xf>
    <xf numFmtId="0" fontId="0" fillId="0" borderId="42" xfId="58" applyFont="1" applyBorder="1" applyProtection="1">
      <alignment/>
      <protection hidden="1"/>
    </xf>
    <xf numFmtId="0" fontId="28" fillId="0" borderId="18" xfId="58" applyFont="1" applyFill="1" applyBorder="1" applyAlignment="1" applyProtection="1">
      <alignment horizontal="left" vertical="center"/>
      <protection hidden="1" locked="0"/>
    </xf>
    <xf numFmtId="0" fontId="28" fillId="0" borderId="41" xfId="58" applyFont="1" applyFill="1" applyBorder="1" applyAlignment="1" applyProtection="1">
      <alignment horizontal="left" vertical="center"/>
      <protection hidden="1" locked="0"/>
    </xf>
    <xf numFmtId="49" fontId="28" fillId="0" borderId="40" xfId="58" applyNumberFormat="1" applyFont="1" applyFill="1" applyBorder="1" applyAlignment="1" applyProtection="1">
      <alignment horizontal="left" vertical="center"/>
      <protection hidden="1" locked="0"/>
    </xf>
    <xf numFmtId="49" fontId="28" fillId="0" borderId="18" xfId="58" applyNumberFormat="1" applyFont="1" applyFill="1" applyBorder="1" applyAlignment="1" applyProtection="1">
      <alignment horizontal="left" vertical="center"/>
      <protection hidden="1" locked="0"/>
    </xf>
    <xf numFmtId="49" fontId="28" fillId="0" borderId="41" xfId="58" applyNumberFormat="1" applyFont="1" applyFill="1" applyBorder="1" applyAlignment="1" applyProtection="1">
      <alignment horizontal="left" vertical="center"/>
      <protection hidden="1" locked="0"/>
    </xf>
    <xf numFmtId="49" fontId="4" fillId="0" borderId="40" xfId="54" applyNumberFormat="1" applyFont="1" applyFill="1" applyBorder="1" applyAlignment="1" applyProtection="1">
      <alignment horizontal="left" vertical="center"/>
      <protection hidden="1" locked="0"/>
    </xf>
    <xf numFmtId="0" fontId="0" fillId="0" borderId="43" xfId="58" applyFont="1" applyBorder="1" applyAlignment="1" applyProtection="1">
      <alignment horizontal="left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44" xfId="58" applyFont="1" applyFill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29" fillId="0" borderId="0" xfId="15" applyFont="1" applyBorder="1" applyAlignment="1" applyProtection="1">
      <alignment horizontal="left"/>
      <protection hidden="1"/>
    </xf>
    <xf numFmtId="0" fontId="29" fillId="0" borderId="0" xfId="15" applyFont="1" applyBorder="1" applyAlignment="1">
      <alignment/>
      <protection/>
    </xf>
    <xf numFmtId="0" fontId="30" fillId="0" borderId="0" xfId="15" applyFont="1" applyBorder="1" applyAlignment="1" applyProtection="1">
      <alignment vertical="center"/>
      <protection hidden="1"/>
    </xf>
    <xf numFmtId="0" fontId="30" fillId="0" borderId="44" xfId="15" applyFont="1" applyFill="1" applyBorder="1" applyAlignment="1" applyProtection="1">
      <alignment vertical="center"/>
      <protection hidden="1"/>
    </xf>
    <xf numFmtId="0" fontId="30" fillId="0" borderId="0" xfId="15" applyFont="1" applyBorder="1" applyAlignment="1" applyProtection="1">
      <alignment horizontal="left"/>
      <protection hidden="1"/>
    </xf>
    <xf numFmtId="0" fontId="30" fillId="0" borderId="0" xfId="15" applyFont="1" applyBorder="1" applyAlignment="1">
      <alignment/>
      <protection/>
    </xf>
    <xf numFmtId="0" fontId="30" fillId="0" borderId="45" xfId="15" applyFont="1" applyBorder="1" applyAlignment="1">
      <alignment/>
      <protection/>
    </xf>
    <xf numFmtId="0" fontId="30" fillId="0" borderId="0" xfId="15" applyFont="1" applyBorder="1" applyAlignment="1" applyProtection="1">
      <alignment horizontal="left"/>
      <protection hidden="1"/>
    </xf>
    <xf numFmtId="0" fontId="30" fillId="0" borderId="0" xfId="15" applyFont="1" applyBorder="1" applyAlignment="1">
      <alignment/>
      <protection/>
    </xf>
    <xf numFmtId="0" fontId="30" fillId="0" borderId="45" xfId="15" applyFont="1" applyBorder="1" applyAlignment="1">
      <alignment/>
      <protection/>
    </xf>
    <xf numFmtId="0" fontId="28" fillId="0" borderId="43" xfId="58" applyFont="1" applyBorder="1" applyAlignment="1" applyProtection="1">
      <alignment vertical="center"/>
      <protection hidden="1"/>
    </xf>
    <xf numFmtId="0" fontId="0" fillId="0" borderId="46" xfId="58" applyFont="1" applyBorder="1" applyProtection="1">
      <alignment/>
      <protection hidden="1"/>
    </xf>
    <xf numFmtId="0" fontId="0" fillId="0" borderId="46" xfId="58" applyFont="1" applyBorder="1">
      <alignment/>
      <protection/>
    </xf>
    <xf numFmtId="0" fontId="0" fillId="0" borderId="47" xfId="58" applyFont="1" applyBorder="1" applyProtection="1">
      <alignment/>
      <protection hidden="1"/>
    </xf>
    <xf numFmtId="0" fontId="0" fillId="0" borderId="48" xfId="58" applyFont="1" applyBorder="1" applyAlignment="1" applyProtection="1">
      <alignment horizontal="center" vertical="top"/>
      <protection hidden="1"/>
    </xf>
    <xf numFmtId="0" fontId="0" fillId="0" borderId="48" xfId="58" applyFont="1" applyBorder="1" applyAlignment="1">
      <alignment horizontal="center"/>
      <protection/>
    </xf>
    <xf numFmtId="0" fontId="0" fillId="0" borderId="49" xfId="58" applyFont="1" applyBorder="1" applyAlignment="1">
      <alignment/>
      <protection/>
    </xf>
    <xf numFmtId="0" fontId="0" fillId="0" borderId="40" xfId="58" applyFont="1" applyFill="1" applyBorder="1" applyAlignment="1" applyProtection="1">
      <alignment horizontal="right" vertical="top" wrapText="1"/>
      <protection hidden="1"/>
    </xf>
    <xf numFmtId="0" fontId="0" fillId="0" borderId="18" xfId="58" applyFont="1" applyFill="1" applyBorder="1" applyAlignment="1" applyProtection="1">
      <alignment horizontal="right" vertical="top" wrapText="1"/>
      <protection hidden="1"/>
    </xf>
    <xf numFmtId="0" fontId="0" fillId="0" borderId="18" xfId="58" applyFont="1" applyFill="1" applyBorder="1" applyProtection="1">
      <alignment/>
      <protection hidden="1"/>
    </xf>
    <xf numFmtId="0" fontId="0" fillId="0" borderId="18" xfId="58" applyFont="1" applyFill="1" applyBorder="1" applyAlignment="1" applyProtection="1">
      <alignment horizontal="center" vertical="top"/>
      <protection hidden="1"/>
    </xf>
    <xf numFmtId="0" fontId="0" fillId="0" borderId="18" xfId="58" applyFont="1" applyFill="1" applyBorder="1" applyAlignment="1" applyProtection="1">
      <alignment horizontal="center"/>
      <protection hidden="1"/>
    </xf>
    <xf numFmtId="0" fontId="0" fillId="0" borderId="41" xfId="58" applyFont="1" applyFill="1" applyBorder="1" applyProtection="1">
      <alignment/>
      <protection hidden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63"/>
  <sheetViews>
    <sheetView tabSelected="1" view="pageBreakPreview" zoomScaleSheetLayoutView="100" workbookViewId="0" topLeftCell="A25">
      <selection activeCell="H8" sqref="H8"/>
    </sheetView>
  </sheetViews>
  <sheetFormatPr defaultColWidth="9.140625" defaultRowHeight="12.75"/>
  <cols>
    <col min="1" max="1" width="9.140625" style="188" customWidth="1"/>
    <col min="2" max="2" width="13.00390625" style="188" customWidth="1"/>
    <col min="3" max="6" width="9.140625" style="188" customWidth="1"/>
    <col min="7" max="7" width="15.140625" style="188" customWidth="1"/>
    <col min="8" max="8" width="19.28125" style="188" customWidth="1"/>
    <col min="9" max="9" width="14.421875" style="188" customWidth="1"/>
    <col min="10" max="10" width="11.7109375" style="188" customWidth="1"/>
    <col min="11" max="15" width="9.140625" style="188" customWidth="1"/>
    <col min="16" max="16" width="10.140625" style="188" customWidth="1"/>
    <col min="17" max="16384" width="9.140625" style="188" customWidth="1"/>
  </cols>
  <sheetData>
    <row r="1" spans="1:9" ht="12.75">
      <c r="A1" s="184" t="s">
        <v>200</v>
      </c>
      <c r="B1" s="185"/>
      <c r="C1" s="185"/>
      <c r="D1" s="186"/>
      <c r="E1" s="186"/>
      <c r="F1" s="186"/>
      <c r="G1" s="186"/>
      <c r="H1" s="186"/>
      <c r="I1" s="187"/>
    </row>
    <row r="2" spans="1:9" ht="12.75">
      <c r="A2" s="189" t="s">
        <v>201</v>
      </c>
      <c r="B2" s="190"/>
      <c r="C2" s="190"/>
      <c r="D2" s="191"/>
      <c r="E2" s="192" t="s">
        <v>289</v>
      </c>
      <c r="F2" s="193"/>
      <c r="G2" s="194" t="s">
        <v>202</v>
      </c>
      <c r="H2" s="192" t="s">
        <v>290</v>
      </c>
      <c r="I2" s="195"/>
    </row>
    <row r="3" spans="1:9" ht="12.75">
      <c r="A3" s="196"/>
      <c r="B3" s="197"/>
      <c r="C3" s="197"/>
      <c r="D3" s="197"/>
      <c r="E3" s="198"/>
      <c r="F3" s="198"/>
      <c r="G3" s="197"/>
      <c r="H3" s="197"/>
      <c r="I3" s="199"/>
    </row>
    <row r="4" spans="1:9" ht="12.75">
      <c r="A4" s="200" t="s">
        <v>263</v>
      </c>
      <c r="B4" s="201"/>
      <c r="C4" s="201"/>
      <c r="D4" s="201"/>
      <c r="E4" s="201"/>
      <c r="F4" s="201"/>
      <c r="G4" s="201"/>
      <c r="H4" s="201"/>
      <c r="I4" s="202"/>
    </row>
    <row r="5" spans="1:16" ht="12.75">
      <c r="A5" s="203"/>
      <c r="B5" s="204"/>
      <c r="C5" s="204"/>
      <c r="D5" s="204"/>
      <c r="E5" s="205"/>
      <c r="F5" s="206"/>
      <c r="G5" s="207"/>
      <c r="H5" s="194"/>
      <c r="I5" s="208"/>
      <c r="P5" s="209"/>
    </row>
    <row r="6" spans="1:9" ht="12.75">
      <c r="A6" s="210" t="s">
        <v>203</v>
      </c>
      <c r="B6" s="211"/>
      <c r="C6" s="212" t="s">
        <v>267</v>
      </c>
      <c r="D6" s="213"/>
      <c r="E6" s="214"/>
      <c r="F6" s="214"/>
      <c r="G6" s="214"/>
      <c r="H6" s="214"/>
      <c r="I6" s="215"/>
    </row>
    <row r="7" spans="1:9" ht="12.75">
      <c r="A7" s="216"/>
      <c r="B7" s="217"/>
      <c r="C7" s="218"/>
      <c r="D7" s="218"/>
      <c r="E7" s="214"/>
      <c r="F7" s="214"/>
      <c r="G7" s="214"/>
      <c r="H7" s="214"/>
      <c r="I7" s="215"/>
    </row>
    <row r="8" spans="1:9" ht="12.75">
      <c r="A8" s="219" t="s">
        <v>204</v>
      </c>
      <c r="B8" s="220"/>
      <c r="C8" s="212" t="s">
        <v>268</v>
      </c>
      <c r="D8" s="213"/>
      <c r="E8" s="214"/>
      <c r="F8" s="214"/>
      <c r="G8" s="214"/>
      <c r="H8" s="214"/>
      <c r="I8" s="221"/>
    </row>
    <row r="9" spans="1:9" ht="12.75">
      <c r="A9" s="222"/>
      <c r="B9" s="223"/>
      <c r="C9" s="224"/>
      <c r="D9" s="225"/>
      <c r="E9" s="218"/>
      <c r="F9" s="218"/>
      <c r="G9" s="218"/>
      <c r="H9" s="218"/>
      <c r="I9" s="221"/>
    </row>
    <row r="10" spans="1:9" ht="12.75">
      <c r="A10" s="219" t="s">
        <v>205</v>
      </c>
      <c r="B10" s="226"/>
      <c r="C10" s="212" t="s">
        <v>269</v>
      </c>
      <c r="D10" s="213"/>
      <c r="E10" s="218"/>
      <c r="F10" s="218"/>
      <c r="G10" s="218"/>
      <c r="H10" s="218"/>
      <c r="I10" s="221"/>
    </row>
    <row r="11" spans="1:9" ht="12.75">
      <c r="A11" s="227"/>
      <c r="B11" s="226"/>
      <c r="C11" s="218"/>
      <c r="D11" s="218"/>
      <c r="E11" s="218"/>
      <c r="F11" s="218"/>
      <c r="G11" s="218"/>
      <c r="H11" s="218"/>
      <c r="I11" s="221"/>
    </row>
    <row r="12" spans="1:9" ht="12.75">
      <c r="A12" s="210" t="s">
        <v>206</v>
      </c>
      <c r="B12" s="211"/>
      <c r="C12" s="228" t="s">
        <v>270</v>
      </c>
      <c r="D12" s="229"/>
      <c r="E12" s="229"/>
      <c r="F12" s="229"/>
      <c r="G12" s="229"/>
      <c r="H12" s="229"/>
      <c r="I12" s="230"/>
    </row>
    <row r="13" spans="1:9" ht="12.75">
      <c r="A13" s="216"/>
      <c r="B13" s="217"/>
      <c r="C13" s="231"/>
      <c r="D13" s="218"/>
      <c r="E13" s="218"/>
      <c r="F13" s="218"/>
      <c r="G13" s="218"/>
      <c r="H13" s="218"/>
      <c r="I13" s="221"/>
    </row>
    <row r="14" spans="1:9" ht="12.75">
      <c r="A14" s="210" t="s">
        <v>207</v>
      </c>
      <c r="B14" s="211"/>
      <c r="C14" s="232">
        <v>21000</v>
      </c>
      <c r="D14" s="233"/>
      <c r="E14" s="218"/>
      <c r="F14" s="228" t="s">
        <v>271</v>
      </c>
      <c r="G14" s="229"/>
      <c r="H14" s="229"/>
      <c r="I14" s="230"/>
    </row>
    <row r="15" spans="1:9" ht="12.75">
      <c r="A15" s="216"/>
      <c r="B15" s="217"/>
      <c r="C15" s="218"/>
      <c r="D15" s="218"/>
      <c r="E15" s="218"/>
      <c r="F15" s="218"/>
      <c r="G15" s="218"/>
      <c r="H15" s="218"/>
      <c r="I15" s="221"/>
    </row>
    <row r="16" spans="1:9" ht="12.75">
      <c r="A16" s="210" t="s">
        <v>208</v>
      </c>
      <c r="B16" s="211"/>
      <c r="C16" s="228" t="s">
        <v>272</v>
      </c>
      <c r="D16" s="229"/>
      <c r="E16" s="229"/>
      <c r="F16" s="229"/>
      <c r="G16" s="229"/>
      <c r="H16" s="229"/>
      <c r="I16" s="230"/>
    </row>
    <row r="17" spans="1:9" ht="12.75">
      <c r="A17" s="216"/>
      <c r="B17" s="217"/>
      <c r="C17" s="218"/>
      <c r="D17" s="218"/>
      <c r="E17" s="218"/>
      <c r="F17" s="218"/>
      <c r="G17" s="218"/>
      <c r="H17" s="218"/>
      <c r="I17" s="221"/>
    </row>
    <row r="18" spans="1:9" ht="12.75">
      <c r="A18" s="210" t="s">
        <v>209</v>
      </c>
      <c r="B18" s="211"/>
      <c r="C18" s="234" t="s">
        <v>273</v>
      </c>
      <c r="D18" s="235"/>
      <c r="E18" s="235"/>
      <c r="F18" s="235"/>
      <c r="G18" s="235"/>
      <c r="H18" s="235"/>
      <c r="I18" s="236"/>
    </row>
    <row r="19" spans="1:9" ht="12.75">
      <c r="A19" s="216"/>
      <c r="B19" s="217"/>
      <c r="C19" s="231"/>
      <c r="D19" s="218"/>
      <c r="E19" s="218"/>
      <c r="F19" s="218"/>
      <c r="G19" s="218"/>
      <c r="H19" s="218"/>
      <c r="I19" s="221"/>
    </row>
    <row r="20" spans="1:9" ht="12.75">
      <c r="A20" s="210" t="s">
        <v>210</v>
      </c>
      <c r="B20" s="211"/>
      <c r="C20" s="234" t="s">
        <v>274</v>
      </c>
      <c r="D20" s="235"/>
      <c r="E20" s="235"/>
      <c r="F20" s="235"/>
      <c r="G20" s="235"/>
      <c r="H20" s="235"/>
      <c r="I20" s="236"/>
    </row>
    <row r="21" spans="1:9" ht="12.75">
      <c r="A21" s="216"/>
      <c r="B21" s="217"/>
      <c r="C21" s="231"/>
      <c r="D21" s="218"/>
      <c r="E21" s="218"/>
      <c r="F21" s="218"/>
      <c r="G21" s="218"/>
      <c r="H21" s="218"/>
      <c r="I21" s="221"/>
    </row>
    <row r="22" spans="1:9" ht="12.75">
      <c r="A22" s="210" t="s">
        <v>211</v>
      </c>
      <c r="B22" s="211"/>
      <c r="C22" s="237">
        <v>409</v>
      </c>
      <c r="D22" s="228" t="s">
        <v>271</v>
      </c>
      <c r="E22" s="238"/>
      <c r="F22" s="239"/>
      <c r="G22" s="210"/>
      <c r="H22" s="240"/>
      <c r="I22" s="241"/>
    </row>
    <row r="23" spans="1:9" ht="12.75">
      <c r="A23" s="216"/>
      <c r="B23" s="217"/>
      <c r="C23" s="218"/>
      <c r="D23" s="218"/>
      <c r="E23" s="218"/>
      <c r="F23" s="218"/>
      <c r="G23" s="218"/>
      <c r="H23" s="218"/>
      <c r="I23" s="221"/>
    </row>
    <row r="24" spans="1:9" ht="12.75">
      <c r="A24" s="210" t="s">
        <v>212</v>
      </c>
      <c r="B24" s="211"/>
      <c r="C24" s="237">
        <v>17</v>
      </c>
      <c r="D24" s="228" t="s">
        <v>275</v>
      </c>
      <c r="E24" s="238"/>
      <c r="F24" s="238"/>
      <c r="G24" s="239"/>
      <c r="H24" s="242" t="s">
        <v>213</v>
      </c>
      <c r="I24" s="243">
        <v>337</v>
      </c>
    </row>
    <row r="25" spans="1:9" ht="12.75">
      <c r="A25" s="216"/>
      <c r="B25" s="217"/>
      <c r="C25" s="218"/>
      <c r="D25" s="218"/>
      <c r="E25" s="218"/>
      <c r="F25" s="218"/>
      <c r="G25" s="217"/>
      <c r="H25" s="217" t="s">
        <v>264</v>
      </c>
      <c r="I25" s="244"/>
    </row>
    <row r="26" spans="1:9" ht="12.75">
      <c r="A26" s="210" t="s">
        <v>214</v>
      </c>
      <c r="B26" s="211"/>
      <c r="C26" s="245" t="s">
        <v>276</v>
      </c>
      <c r="D26" s="246"/>
      <c r="E26" s="247"/>
      <c r="F26" s="204"/>
      <c r="G26" s="248" t="s">
        <v>215</v>
      </c>
      <c r="H26" s="211"/>
      <c r="I26" s="249" t="s">
        <v>277</v>
      </c>
    </row>
    <row r="27" spans="1:9" ht="12.75">
      <c r="A27" s="216"/>
      <c r="B27" s="217"/>
      <c r="C27" s="218"/>
      <c r="D27" s="204"/>
      <c r="E27" s="204"/>
      <c r="F27" s="204"/>
      <c r="G27" s="204"/>
      <c r="H27" s="218"/>
      <c r="I27" s="250"/>
    </row>
    <row r="28" spans="1:9" ht="12.75">
      <c r="A28" s="251" t="s">
        <v>216</v>
      </c>
      <c r="B28" s="252"/>
      <c r="C28" s="253"/>
      <c r="D28" s="253"/>
      <c r="E28" s="252" t="s">
        <v>217</v>
      </c>
      <c r="F28" s="254"/>
      <c r="G28" s="254"/>
      <c r="H28" s="253" t="s">
        <v>218</v>
      </c>
      <c r="I28" s="255"/>
    </row>
    <row r="29" spans="1:9" ht="12.75">
      <c r="A29" s="256"/>
      <c r="B29" s="247"/>
      <c r="C29" s="247"/>
      <c r="D29" s="225"/>
      <c r="E29" s="218"/>
      <c r="F29" s="218"/>
      <c r="G29" s="218"/>
      <c r="H29" s="257"/>
      <c r="I29" s="250"/>
    </row>
    <row r="30" spans="1:9" ht="12.75">
      <c r="A30" s="258"/>
      <c r="B30" s="259"/>
      <c r="C30" s="259"/>
      <c r="D30" s="260"/>
      <c r="E30" s="258"/>
      <c r="F30" s="259"/>
      <c r="G30" s="259"/>
      <c r="H30" s="212"/>
      <c r="I30" s="213"/>
    </row>
    <row r="31" spans="1:9" ht="12.75">
      <c r="A31" s="216"/>
      <c r="B31" s="217"/>
      <c r="C31" s="231"/>
      <c r="D31" s="261"/>
      <c r="E31" s="261"/>
      <c r="F31" s="261"/>
      <c r="G31" s="262"/>
      <c r="H31" s="218"/>
      <c r="I31" s="263"/>
    </row>
    <row r="32" spans="1:9" ht="12.75">
      <c r="A32" s="258"/>
      <c r="B32" s="259"/>
      <c r="C32" s="259"/>
      <c r="D32" s="260"/>
      <c r="E32" s="258"/>
      <c r="F32" s="259"/>
      <c r="G32" s="259"/>
      <c r="H32" s="212"/>
      <c r="I32" s="213"/>
    </row>
    <row r="33" spans="1:9" ht="12.75">
      <c r="A33" s="216"/>
      <c r="B33" s="217"/>
      <c r="C33" s="231"/>
      <c r="D33" s="264"/>
      <c r="E33" s="264"/>
      <c r="F33" s="264"/>
      <c r="G33" s="214"/>
      <c r="H33" s="218"/>
      <c r="I33" s="265"/>
    </row>
    <row r="34" spans="1:9" ht="12.75">
      <c r="A34" s="258"/>
      <c r="B34" s="259"/>
      <c r="C34" s="259"/>
      <c r="D34" s="260"/>
      <c r="E34" s="258"/>
      <c r="F34" s="259"/>
      <c r="G34" s="259"/>
      <c r="H34" s="212"/>
      <c r="I34" s="213"/>
    </row>
    <row r="35" spans="1:9" ht="12.75">
      <c r="A35" s="216"/>
      <c r="B35" s="217"/>
      <c r="C35" s="231"/>
      <c r="D35" s="264"/>
      <c r="E35" s="264"/>
      <c r="F35" s="264"/>
      <c r="G35" s="214"/>
      <c r="H35" s="218"/>
      <c r="I35" s="265"/>
    </row>
    <row r="36" spans="1:9" ht="12.75">
      <c r="A36" s="258"/>
      <c r="B36" s="259"/>
      <c r="C36" s="259"/>
      <c r="D36" s="260"/>
      <c r="E36" s="258"/>
      <c r="F36" s="259"/>
      <c r="G36" s="259"/>
      <c r="H36" s="212"/>
      <c r="I36" s="213"/>
    </row>
    <row r="37" spans="1:9" ht="12.75">
      <c r="A37" s="266"/>
      <c r="B37" s="267"/>
      <c r="C37" s="268"/>
      <c r="D37" s="269"/>
      <c r="E37" s="218"/>
      <c r="F37" s="268"/>
      <c r="G37" s="269"/>
      <c r="H37" s="218"/>
      <c r="I37" s="221"/>
    </row>
    <row r="38" spans="1:9" ht="12.75">
      <c r="A38" s="258"/>
      <c r="B38" s="259"/>
      <c r="C38" s="259"/>
      <c r="D38" s="260"/>
      <c r="E38" s="258"/>
      <c r="F38" s="259"/>
      <c r="G38" s="259"/>
      <c r="H38" s="212"/>
      <c r="I38" s="213"/>
    </row>
    <row r="39" spans="1:9" ht="12.75">
      <c r="A39" s="266"/>
      <c r="B39" s="267"/>
      <c r="C39" s="270"/>
      <c r="D39" s="271"/>
      <c r="E39" s="218"/>
      <c r="F39" s="270"/>
      <c r="G39" s="271"/>
      <c r="H39" s="218"/>
      <c r="I39" s="221"/>
    </row>
    <row r="40" spans="1:9" ht="12.75">
      <c r="A40" s="258"/>
      <c r="B40" s="259"/>
      <c r="C40" s="259"/>
      <c r="D40" s="260"/>
      <c r="E40" s="258"/>
      <c r="F40" s="259"/>
      <c r="G40" s="259"/>
      <c r="H40" s="212"/>
      <c r="I40" s="213"/>
    </row>
    <row r="41" spans="1:9" ht="12.75">
      <c r="A41" s="272"/>
      <c r="B41" s="273"/>
      <c r="C41" s="273"/>
      <c r="D41" s="273"/>
      <c r="E41" s="274"/>
      <c r="F41" s="275"/>
      <c r="G41" s="275"/>
      <c r="H41" s="276"/>
      <c r="I41" s="277"/>
    </row>
    <row r="42" spans="1:9" ht="12.75">
      <c r="A42" s="266"/>
      <c r="B42" s="267"/>
      <c r="C42" s="270"/>
      <c r="D42" s="271"/>
      <c r="E42" s="218"/>
      <c r="F42" s="270"/>
      <c r="G42" s="271"/>
      <c r="H42" s="218"/>
      <c r="I42" s="221"/>
    </row>
    <row r="43" spans="1:9" ht="12.75">
      <c r="A43" s="278"/>
      <c r="B43" s="279"/>
      <c r="C43" s="279"/>
      <c r="D43" s="224"/>
      <c r="E43" s="224"/>
      <c r="F43" s="279"/>
      <c r="G43" s="224"/>
      <c r="H43" s="224"/>
      <c r="I43" s="280"/>
    </row>
    <row r="44" spans="1:9" ht="12.75">
      <c r="A44" s="219" t="s">
        <v>219</v>
      </c>
      <c r="B44" s="220"/>
      <c r="C44" s="212"/>
      <c r="D44" s="213"/>
      <c r="E44" s="225"/>
      <c r="F44" s="228"/>
      <c r="G44" s="259"/>
      <c r="H44" s="259"/>
      <c r="I44" s="260"/>
    </row>
    <row r="45" spans="1:9" ht="12.75">
      <c r="A45" s="266"/>
      <c r="B45" s="267"/>
      <c r="C45" s="268"/>
      <c r="D45" s="269"/>
      <c r="E45" s="218"/>
      <c r="F45" s="268"/>
      <c r="G45" s="281"/>
      <c r="H45" s="282"/>
      <c r="I45" s="283"/>
    </row>
    <row r="46" spans="1:9" ht="12.75">
      <c r="A46" s="219" t="s">
        <v>220</v>
      </c>
      <c r="B46" s="220"/>
      <c r="C46" s="228" t="s">
        <v>278</v>
      </c>
      <c r="D46" s="284"/>
      <c r="E46" s="284"/>
      <c r="F46" s="284"/>
      <c r="G46" s="284"/>
      <c r="H46" s="284"/>
      <c r="I46" s="285"/>
    </row>
    <row r="47" spans="1:9" ht="12.75">
      <c r="A47" s="216"/>
      <c r="B47" s="217"/>
      <c r="C47" s="231" t="s">
        <v>221</v>
      </c>
      <c r="D47" s="218"/>
      <c r="E47" s="218"/>
      <c r="F47" s="218"/>
      <c r="G47" s="218"/>
      <c r="H47" s="218"/>
      <c r="I47" s="221"/>
    </row>
    <row r="48" spans="1:9" ht="12.75">
      <c r="A48" s="219" t="s">
        <v>222</v>
      </c>
      <c r="B48" s="220"/>
      <c r="C48" s="286" t="s">
        <v>279</v>
      </c>
      <c r="D48" s="287"/>
      <c r="E48" s="288"/>
      <c r="F48" s="218"/>
      <c r="G48" s="242" t="s">
        <v>223</v>
      </c>
      <c r="H48" s="286" t="s">
        <v>280</v>
      </c>
      <c r="I48" s="288"/>
    </row>
    <row r="49" spans="1:9" ht="12.75">
      <c r="A49" s="216"/>
      <c r="B49" s="217"/>
      <c r="C49" s="231"/>
      <c r="D49" s="218"/>
      <c r="E49" s="218"/>
      <c r="F49" s="218"/>
      <c r="G49" s="218"/>
      <c r="H49" s="218"/>
      <c r="I49" s="221"/>
    </row>
    <row r="50" spans="1:9" ht="12.75">
      <c r="A50" s="219" t="s">
        <v>209</v>
      </c>
      <c r="B50" s="220"/>
      <c r="C50" s="289" t="s">
        <v>281</v>
      </c>
      <c r="D50" s="287"/>
      <c r="E50" s="287"/>
      <c r="F50" s="287"/>
      <c r="G50" s="287"/>
      <c r="H50" s="287"/>
      <c r="I50" s="288"/>
    </row>
    <row r="51" spans="1:9" ht="12.75">
      <c r="A51" s="216"/>
      <c r="B51" s="217"/>
      <c r="C51" s="218"/>
      <c r="D51" s="218"/>
      <c r="E51" s="218"/>
      <c r="F51" s="218"/>
      <c r="G51" s="218"/>
      <c r="H51" s="218"/>
      <c r="I51" s="221"/>
    </row>
    <row r="52" spans="1:9" ht="12.75">
      <c r="A52" s="210" t="s">
        <v>224</v>
      </c>
      <c r="B52" s="211"/>
      <c r="C52" s="286" t="s">
        <v>297</v>
      </c>
      <c r="D52" s="287"/>
      <c r="E52" s="287"/>
      <c r="F52" s="287"/>
      <c r="G52" s="287"/>
      <c r="H52" s="287"/>
      <c r="I52" s="230"/>
    </row>
    <row r="53" spans="1:9" ht="12.75">
      <c r="A53" s="290"/>
      <c r="B53" s="224"/>
      <c r="C53" s="291" t="s">
        <v>225</v>
      </c>
      <c r="D53" s="291"/>
      <c r="E53" s="291"/>
      <c r="F53" s="291"/>
      <c r="G53" s="291"/>
      <c r="H53" s="291"/>
      <c r="I53" s="292"/>
    </row>
    <row r="54" spans="1:9" ht="12.75">
      <c r="A54" s="290"/>
      <c r="B54" s="224"/>
      <c r="C54" s="293"/>
      <c r="D54" s="293"/>
      <c r="E54" s="293"/>
      <c r="F54" s="293"/>
      <c r="G54" s="293"/>
      <c r="H54" s="293"/>
      <c r="I54" s="292"/>
    </row>
    <row r="55" spans="1:9" ht="12.75">
      <c r="A55" s="290"/>
      <c r="B55" s="294" t="s">
        <v>226</v>
      </c>
      <c r="C55" s="295"/>
      <c r="D55" s="295"/>
      <c r="E55" s="295"/>
      <c r="F55" s="296"/>
      <c r="G55" s="296"/>
      <c r="H55" s="296"/>
      <c r="I55" s="297"/>
    </row>
    <row r="56" spans="1:9" ht="12.75">
      <c r="A56" s="290"/>
      <c r="B56" s="298" t="s">
        <v>255</v>
      </c>
      <c r="C56" s="299"/>
      <c r="D56" s="299"/>
      <c r="E56" s="299"/>
      <c r="F56" s="299"/>
      <c r="G56" s="299"/>
      <c r="H56" s="299"/>
      <c r="I56" s="300"/>
    </row>
    <row r="57" spans="1:9" ht="12.75">
      <c r="A57" s="290"/>
      <c r="B57" s="298" t="s">
        <v>256</v>
      </c>
      <c r="C57" s="299"/>
      <c r="D57" s="299"/>
      <c r="E57" s="299"/>
      <c r="F57" s="299"/>
      <c r="G57" s="299"/>
      <c r="H57" s="299"/>
      <c r="I57" s="297"/>
    </row>
    <row r="58" spans="1:9" ht="12.75">
      <c r="A58" s="290"/>
      <c r="B58" s="298" t="s">
        <v>257</v>
      </c>
      <c r="C58" s="299"/>
      <c r="D58" s="299"/>
      <c r="E58" s="299"/>
      <c r="F58" s="299"/>
      <c r="G58" s="299"/>
      <c r="H58" s="299"/>
      <c r="I58" s="300"/>
    </row>
    <row r="59" spans="1:9" ht="12.75">
      <c r="A59" s="290"/>
      <c r="B59" s="298" t="s">
        <v>258</v>
      </c>
      <c r="C59" s="299"/>
      <c r="D59" s="299"/>
      <c r="E59" s="299"/>
      <c r="F59" s="299"/>
      <c r="G59" s="299"/>
      <c r="H59" s="299"/>
      <c r="I59" s="300"/>
    </row>
    <row r="60" spans="1:9" ht="12.75">
      <c r="A60" s="290"/>
      <c r="B60" s="301"/>
      <c r="C60" s="302"/>
      <c r="D60" s="302"/>
      <c r="E60" s="302"/>
      <c r="F60" s="302"/>
      <c r="G60" s="302"/>
      <c r="H60" s="302"/>
      <c r="I60" s="303"/>
    </row>
    <row r="61" spans="1:9" ht="13.5" thickBot="1">
      <c r="A61" s="304" t="s">
        <v>227</v>
      </c>
      <c r="B61" s="218"/>
      <c r="C61" s="218"/>
      <c r="D61" s="218"/>
      <c r="E61" s="218"/>
      <c r="F61" s="218"/>
      <c r="G61" s="305"/>
      <c r="H61" s="306"/>
      <c r="I61" s="307"/>
    </row>
    <row r="62" spans="1:9" ht="12.75">
      <c r="A62" s="203"/>
      <c r="B62" s="218"/>
      <c r="C62" s="218"/>
      <c r="D62" s="218"/>
      <c r="E62" s="224" t="s">
        <v>228</v>
      </c>
      <c r="F62" s="247"/>
      <c r="G62" s="308" t="s">
        <v>229</v>
      </c>
      <c r="H62" s="309"/>
      <c r="I62" s="310"/>
    </row>
    <row r="63" spans="1:9" ht="12.75">
      <c r="A63" s="311"/>
      <c r="B63" s="312"/>
      <c r="C63" s="313"/>
      <c r="D63" s="313"/>
      <c r="E63" s="313"/>
      <c r="F63" s="313"/>
      <c r="G63" s="314"/>
      <c r="H63" s="315"/>
      <c r="I63" s="3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71"/>
  <sheetViews>
    <sheetView view="pageBreakPreview" zoomScaleSheetLayoutView="100" workbookViewId="0" topLeftCell="A1">
      <selection activeCell="L48" sqref="L48:M48"/>
    </sheetView>
  </sheetViews>
  <sheetFormatPr defaultColWidth="9.140625" defaultRowHeight="12.75"/>
  <cols>
    <col min="1" max="3" width="9.140625" style="10" customWidth="1"/>
    <col min="4" max="4" width="4.140625" style="10" customWidth="1"/>
    <col min="5" max="5" width="4.57421875" style="10" customWidth="1"/>
    <col min="6" max="6" width="7.7109375" style="10" customWidth="1"/>
    <col min="7" max="7" width="9.140625" style="10" customWidth="1"/>
    <col min="8" max="8" width="5.140625" style="10" customWidth="1"/>
    <col min="9" max="9" width="6.57421875" style="10" customWidth="1"/>
    <col min="10" max="10" width="11.7109375" style="10" customWidth="1"/>
    <col min="11" max="12" width="10.8515625" style="10" customWidth="1"/>
    <col min="13" max="13" width="11.140625" style="10" customWidth="1"/>
    <col min="14" max="16384" width="9.140625" style="10" customWidth="1"/>
  </cols>
  <sheetData>
    <row r="1" spans="1:13" ht="12.75" customHeight="1">
      <c r="A1" s="73" t="s">
        <v>288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2.75" customHeight="1">
      <c r="A2" s="72" t="s">
        <v>291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 customHeight="1">
      <c r="A3" s="106" t="s">
        <v>282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36">
      <c r="A4" s="105" t="s">
        <v>45</v>
      </c>
      <c r="B4" s="105"/>
      <c r="C4" s="105"/>
      <c r="D4" s="105"/>
      <c r="E4" s="105"/>
      <c r="F4" s="105"/>
      <c r="G4" s="105"/>
      <c r="H4" s="105"/>
      <c r="I4" s="5" t="s">
        <v>286</v>
      </c>
      <c r="J4" s="107" t="s">
        <v>265</v>
      </c>
      <c r="K4" s="108"/>
      <c r="L4" s="107" t="s">
        <v>266</v>
      </c>
      <c r="M4" s="108"/>
    </row>
    <row r="5" spans="1:13" ht="23.25" customHeight="1">
      <c r="A5" s="105"/>
      <c r="B5" s="105"/>
      <c r="C5" s="105"/>
      <c r="D5" s="105"/>
      <c r="E5" s="105"/>
      <c r="F5" s="105"/>
      <c r="G5" s="105"/>
      <c r="H5" s="105"/>
      <c r="I5" s="5"/>
      <c r="J5" s="34" t="s">
        <v>283</v>
      </c>
      <c r="K5" s="35" t="s">
        <v>284</v>
      </c>
      <c r="L5" s="34" t="s">
        <v>283</v>
      </c>
      <c r="M5" s="35" t="s">
        <v>284</v>
      </c>
    </row>
    <row r="6" spans="1:13" s="18" customFormat="1" ht="12">
      <c r="A6" s="104"/>
      <c r="B6" s="104"/>
      <c r="C6" s="104"/>
      <c r="D6" s="104"/>
      <c r="E6" s="104"/>
      <c r="F6" s="104"/>
      <c r="G6" s="104"/>
      <c r="H6" s="104"/>
      <c r="I6" s="36"/>
      <c r="J6" s="37"/>
      <c r="K6" s="38"/>
      <c r="L6" s="37"/>
      <c r="M6" s="38"/>
    </row>
    <row r="7" spans="1:13" ht="12">
      <c r="A7" s="90" t="s">
        <v>298</v>
      </c>
      <c r="B7" s="91"/>
      <c r="C7" s="91"/>
      <c r="D7" s="91"/>
      <c r="E7" s="91"/>
      <c r="F7" s="91"/>
      <c r="G7" s="91"/>
      <c r="H7" s="92"/>
      <c r="I7" s="39"/>
      <c r="J7" s="40">
        <f>SUM(J8:J9)</f>
        <v>133648640</v>
      </c>
      <c r="K7" s="40">
        <f>SUM(K8:K9)</f>
        <v>31416461</v>
      </c>
      <c r="L7" s="40">
        <f>SUM(L8:L9)</f>
        <v>122744256</v>
      </c>
      <c r="M7" s="40">
        <f>SUM(M8:M9)</f>
        <v>30247510</v>
      </c>
    </row>
    <row r="8" spans="1:13" ht="12">
      <c r="A8" s="77" t="s">
        <v>121</v>
      </c>
      <c r="B8" s="78"/>
      <c r="C8" s="78"/>
      <c r="D8" s="78"/>
      <c r="E8" s="78"/>
      <c r="F8" s="78"/>
      <c r="G8" s="78"/>
      <c r="H8" s="79"/>
      <c r="I8" s="39"/>
      <c r="J8" s="41">
        <f>148336816-21030369-2661519+61452</f>
        <v>124706380</v>
      </c>
      <c r="K8" s="42">
        <f>36102907-5721522-556989</f>
        <v>29824396</v>
      </c>
      <c r="L8" s="41">
        <f>140220287-4623484-19624123</f>
        <v>115972680</v>
      </c>
      <c r="M8" s="42">
        <v>28889543</v>
      </c>
    </row>
    <row r="9" spans="1:13" ht="12">
      <c r="A9" s="77" t="s">
        <v>89</v>
      </c>
      <c r="B9" s="78"/>
      <c r="C9" s="78"/>
      <c r="D9" s="78"/>
      <c r="E9" s="78"/>
      <c r="F9" s="78"/>
      <c r="G9" s="78"/>
      <c r="H9" s="79"/>
      <c r="I9" s="39"/>
      <c r="J9" s="41">
        <f>2661519+5359716+921025</f>
        <v>8942260</v>
      </c>
      <c r="K9" s="42">
        <f>556989+1035076</f>
        <v>1592065</v>
      </c>
      <c r="L9" s="41">
        <f>4623484+2148092</f>
        <v>6771576</v>
      </c>
      <c r="M9" s="42">
        <v>1357967</v>
      </c>
    </row>
    <row r="10" spans="1:13" ht="12">
      <c r="A10" s="77" t="s">
        <v>299</v>
      </c>
      <c r="B10" s="78"/>
      <c r="C10" s="78"/>
      <c r="D10" s="78"/>
      <c r="E10" s="78"/>
      <c r="F10" s="78"/>
      <c r="G10" s="78"/>
      <c r="H10" s="79"/>
      <c r="I10" s="39"/>
      <c r="J10" s="40">
        <f>-+K1-J11+J12+J16+J20+J21+J22+J25+J26</f>
        <v>131026944</v>
      </c>
      <c r="K10" s="40">
        <f>-+L1-K11+K12+K16+K20+K21+K22+K25+K26</f>
        <v>33315689</v>
      </c>
      <c r="L10" s="40">
        <f>-+M1-L11+L12+L16+L20+L21+L22+L25+L26</f>
        <v>180647896</v>
      </c>
      <c r="M10" s="40">
        <f>-+N1-M11+M12+M16+M20+M21+M22+M25+M26</f>
        <v>92002488</v>
      </c>
    </row>
    <row r="11" spans="1:13" ht="12">
      <c r="A11" s="77" t="s">
        <v>90</v>
      </c>
      <c r="B11" s="78"/>
      <c r="C11" s="78"/>
      <c r="D11" s="78"/>
      <c r="E11" s="78"/>
      <c r="F11" s="78"/>
      <c r="G11" s="78"/>
      <c r="H11" s="79"/>
      <c r="I11" s="39"/>
      <c r="J11" s="41"/>
      <c r="K11" s="42"/>
      <c r="L11" s="41"/>
      <c r="M11" s="42">
        <v>0</v>
      </c>
    </row>
    <row r="12" spans="1:13" ht="12">
      <c r="A12" s="77" t="s">
        <v>300</v>
      </c>
      <c r="B12" s="78"/>
      <c r="C12" s="78"/>
      <c r="D12" s="78"/>
      <c r="E12" s="78"/>
      <c r="F12" s="78"/>
      <c r="G12" s="78"/>
      <c r="H12" s="79"/>
      <c r="I12" s="39"/>
      <c r="J12" s="40">
        <f>SUM(J13:J15)</f>
        <v>59790545</v>
      </c>
      <c r="K12" s="40">
        <f>SUM(K13:K15)</f>
        <v>15217588</v>
      </c>
      <c r="L12" s="40">
        <f>SUM(L13:L15)</f>
        <v>58382278</v>
      </c>
      <c r="M12" s="40">
        <f>SUM(M13:M15)</f>
        <v>15144453</v>
      </c>
    </row>
    <row r="13" spans="1:13" ht="12">
      <c r="A13" s="101" t="s">
        <v>117</v>
      </c>
      <c r="B13" s="102"/>
      <c r="C13" s="102"/>
      <c r="D13" s="102"/>
      <c r="E13" s="102"/>
      <c r="F13" s="102"/>
      <c r="G13" s="102"/>
      <c r="H13" s="103"/>
      <c r="I13" s="39"/>
      <c r="J13" s="41">
        <f>25459063+4779</f>
        <v>25463842</v>
      </c>
      <c r="K13" s="42">
        <v>6262436</v>
      </c>
      <c r="L13" s="41">
        <v>22907953</v>
      </c>
      <c r="M13" s="42">
        <v>5477260</v>
      </c>
    </row>
    <row r="14" spans="1:13" ht="12">
      <c r="A14" s="101" t="s">
        <v>118</v>
      </c>
      <c r="B14" s="102"/>
      <c r="C14" s="102"/>
      <c r="D14" s="102"/>
      <c r="E14" s="102"/>
      <c r="F14" s="102"/>
      <c r="G14" s="102"/>
      <c r="H14" s="103"/>
      <c r="I14" s="39"/>
      <c r="J14" s="41">
        <v>1821832</v>
      </c>
      <c r="K14" s="42">
        <v>294976</v>
      </c>
      <c r="L14" s="41">
        <v>2603364</v>
      </c>
      <c r="M14" s="42">
        <v>1291084</v>
      </c>
    </row>
    <row r="15" spans="1:13" ht="12">
      <c r="A15" s="101" t="s">
        <v>47</v>
      </c>
      <c r="B15" s="102"/>
      <c r="C15" s="102"/>
      <c r="D15" s="102"/>
      <c r="E15" s="102"/>
      <c r="F15" s="102"/>
      <c r="G15" s="102"/>
      <c r="H15" s="103"/>
      <c r="I15" s="39"/>
      <c r="J15" s="41">
        <f>53159486-21030369+375754</f>
        <v>32504871</v>
      </c>
      <c r="K15" s="42">
        <v>8660176</v>
      </c>
      <c r="L15" s="41">
        <f>52495084-19624123</f>
        <v>32870961</v>
      </c>
      <c r="M15" s="42">
        <v>8376109</v>
      </c>
    </row>
    <row r="16" spans="1:13" ht="12">
      <c r="A16" s="77" t="s">
        <v>301</v>
      </c>
      <c r="B16" s="78"/>
      <c r="C16" s="78"/>
      <c r="D16" s="78"/>
      <c r="E16" s="78"/>
      <c r="F16" s="78"/>
      <c r="G16" s="78"/>
      <c r="H16" s="79"/>
      <c r="I16" s="39"/>
      <c r="J16" s="40">
        <f>SUM(J17:J19)</f>
        <v>51120896</v>
      </c>
      <c r="K16" s="40">
        <f>SUM(K17:K19)</f>
        <v>11948072</v>
      </c>
      <c r="L16" s="40">
        <f>SUM(L17:L19)</f>
        <v>43919323</v>
      </c>
      <c r="M16" s="40">
        <f>SUM(M17:M19)</f>
        <v>10520217</v>
      </c>
    </row>
    <row r="17" spans="1:13" ht="12">
      <c r="A17" s="101" t="s">
        <v>48</v>
      </c>
      <c r="B17" s="102"/>
      <c r="C17" s="102"/>
      <c r="D17" s="102"/>
      <c r="E17" s="102"/>
      <c r="F17" s="102"/>
      <c r="G17" s="102"/>
      <c r="H17" s="103"/>
      <c r="I17" s="39"/>
      <c r="J17" s="41">
        <v>29767451</v>
      </c>
      <c r="K17" s="42">
        <v>7061428</v>
      </c>
      <c r="L17" s="41">
        <v>26064778</v>
      </c>
      <c r="M17" s="42">
        <v>6302656</v>
      </c>
    </row>
    <row r="18" spans="1:13" ht="12">
      <c r="A18" s="101" t="s">
        <v>49</v>
      </c>
      <c r="B18" s="102"/>
      <c r="C18" s="102"/>
      <c r="D18" s="102"/>
      <c r="E18" s="102"/>
      <c r="F18" s="102"/>
      <c r="G18" s="102"/>
      <c r="H18" s="103"/>
      <c r="I18" s="39"/>
      <c r="J18" s="41">
        <f>5023198+511657+8803186</f>
        <v>14338041</v>
      </c>
      <c r="K18" s="42">
        <v>3303403</v>
      </c>
      <c r="L18" s="41">
        <v>12055472</v>
      </c>
      <c r="M18" s="42">
        <v>2829253</v>
      </c>
    </row>
    <row r="19" spans="1:13" ht="12">
      <c r="A19" s="101" t="s">
        <v>50</v>
      </c>
      <c r="B19" s="102"/>
      <c r="C19" s="102"/>
      <c r="D19" s="102"/>
      <c r="E19" s="102"/>
      <c r="F19" s="102"/>
      <c r="G19" s="102"/>
      <c r="H19" s="103"/>
      <c r="I19" s="39"/>
      <c r="J19" s="41">
        <f>21353445-J18</f>
        <v>7015404</v>
      </c>
      <c r="K19" s="42">
        <v>1583241</v>
      </c>
      <c r="L19" s="41">
        <v>5799073</v>
      </c>
      <c r="M19" s="42">
        <v>1388308</v>
      </c>
    </row>
    <row r="20" spans="1:13" ht="12">
      <c r="A20" s="77" t="s">
        <v>91</v>
      </c>
      <c r="B20" s="78"/>
      <c r="C20" s="78"/>
      <c r="D20" s="78"/>
      <c r="E20" s="78"/>
      <c r="F20" s="78"/>
      <c r="G20" s="78"/>
      <c r="H20" s="79"/>
      <c r="I20" s="39"/>
      <c r="J20" s="40">
        <v>6206518</v>
      </c>
      <c r="K20" s="43">
        <v>1601806</v>
      </c>
      <c r="L20" s="40">
        <f>6742570+2474814</f>
        <v>9217384</v>
      </c>
      <c r="M20" s="42">
        <v>4156025</v>
      </c>
    </row>
    <row r="21" spans="1:13" ht="12">
      <c r="A21" s="77" t="s">
        <v>92</v>
      </c>
      <c r="B21" s="78"/>
      <c r="C21" s="78"/>
      <c r="D21" s="78"/>
      <c r="E21" s="78"/>
      <c r="F21" s="78"/>
      <c r="G21" s="78"/>
      <c r="H21" s="79"/>
      <c r="I21" s="39"/>
      <c r="J21" s="40">
        <f>5004700-215066</f>
        <v>4789634</v>
      </c>
      <c r="K21" s="42">
        <v>1381142</v>
      </c>
      <c r="L21" s="40">
        <v>6902428</v>
      </c>
      <c r="M21" s="42">
        <v>1381842</v>
      </c>
    </row>
    <row r="22" spans="1:13" ht="12">
      <c r="A22" s="77" t="s">
        <v>302</v>
      </c>
      <c r="B22" s="78"/>
      <c r="C22" s="78"/>
      <c r="D22" s="78"/>
      <c r="E22" s="78"/>
      <c r="F22" s="78"/>
      <c r="G22" s="78"/>
      <c r="H22" s="79"/>
      <c r="I22" s="39"/>
      <c r="J22" s="40">
        <f>SUM(J24:J24)</f>
        <v>3842666</v>
      </c>
      <c r="K22" s="40">
        <f>SUM(K24:K24)</f>
        <v>865317</v>
      </c>
      <c r="L22" s="40">
        <f>SUM(L24:L24)</f>
        <v>35403472</v>
      </c>
      <c r="M22" s="40">
        <f>SUM(M24:M24)</f>
        <v>33976940</v>
      </c>
    </row>
    <row r="23" spans="1:13" ht="12">
      <c r="A23" s="101" t="s">
        <v>108</v>
      </c>
      <c r="B23" s="102"/>
      <c r="C23" s="102"/>
      <c r="D23" s="102"/>
      <c r="E23" s="102"/>
      <c r="F23" s="102"/>
      <c r="G23" s="102"/>
      <c r="H23" s="103"/>
      <c r="I23" s="39"/>
      <c r="J23" s="41"/>
      <c r="K23" s="42"/>
      <c r="L23" s="41"/>
      <c r="M23" s="42">
        <v>0</v>
      </c>
    </row>
    <row r="24" spans="1:13" ht="12">
      <c r="A24" s="101" t="s">
        <v>109</v>
      </c>
      <c r="B24" s="102"/>
      <c r="C24" s="102"/>
      <c r="D24" s="102"/>
      <c r="E24" s="102"/>
      <c r="F24" s="102"/>
      <c r="G24" s="102"/>
      <c r="H24" s="103"/>
      <c r="I24" s="39"/>
      <c r="J24" s="41">
        <f>3924899-82233</f>
        <v>3842666</v>
      </c>
      <c r="K24" s="42">
        <v>865317</v>
      </c>
      <c r="L24" s="41">
        <f>3268472+24100000+8035000</f>
        <v>35403472</v>
      </c>
      <c r="M24" s="42">
        <v>33976940</v>
      </c>
    </row>
    <row r="25" spans="1:13" ht="12">
      <c r="A25" s="77" t="s">
        <v>93</v>
      </c>
      <c r="B25" s="78"/>
      <c r="C25" s="78"/>
      <c r="D25" s="78"/>
      <c r="E25" s="78"/>
      <c r="F25" s="78"/>
      <c r="G25" s="78"/>
      <c r="H25" s="79"/>
      <c r="I25" s="39"/>
      <c r="J25" s="41">
        <f>1055000+985778</f>
        <v>2040778</v>
      </c>
      <c r="K25" s="42">
        <v>1055000</v>
      </c>
      <c r="L25" s="41">
        <f>11000000</f>
        <v>11000000</v>
      </c>
      <c r="M25" s="42">
        <f>26300000-15300000</f>
        <v>11000000</v>
      </c>
    </row>
    <row r="26" spans="1:13" ht="12">
      <c r="A26" s="77" t="s">
        <v>36</v>
      </c>
      <c r="B26" s="78"/>
      <c r="C26" s="78"/>
      <c r="D26" s="78"/>
      <c r="E26" s="78"/>
      <c r="F26" s="78"/>
      <c r="G26" s="78"/>
      <c r="H26" s="79"/>
      <c r="I26" s="39"/>
      <c r="J26" s="40">
        <f>3126091+109816</f>
        <v>3235907</v>
      </c>
      <c r="K26" s="42">
        <v>1246764</v>
      </c>
      <c r="L26" s="40">
        <f>523011+15300000</f>
        <v>15823011</v>
      </c>
      <c r="M26" s="42">
        <f>523011+15300000</f>
        <v>15823011</v>
      </c>
    </row>
    <row r="27" spans="1:13" ht="12">
      <c r="A27" s="77" t="s">
        <v>303</v>
      </c>
      <c r="B27" s="78"/>
      <c r="C27" s="78"/>
      <c r="D27" s="78"/>
      <c r="E27" s="78"/>
      <c r="F27" s="78"/>
      <c r="G27" s="78"/>
      <c r="H27" s="79"/>
      <c r="I27" s="39"/>
      <c r="J27" s="40">
        <f>SUM(J28:J32)</f>
        <v>3199197</v>
      </c>
      <c r="K27" s="40">
        <f>SUM(K28:K32)</f>
        <v>691248</v>
      </c>
      <c r="L27" s="40">
        <f>SUM(L28:L32)</f>
        <v>3738571</v>
      </c>
      <c r="M27" s="40">
        <f>SUM(M28:M32)</f>
        <v>1330139</v>
      </c>
    </row>
    <row r="28" spans="1:13" ht="24" customHeight="1">
      <c r="A28" s="77" t="s">
        <v>181</v>
      </c>
      <c r="B28" s="78"/>
      <c r="C28" s="78"/>
      <c r="D28" s="78"/>
      <c r="E28" s="78"/>
      <c r="F28" s="78"/>
      <c r="G28" s="78"/>
      <c r="H28" s="79"/>
      <c r="I28" s="39"/>
      <c r="J28" s="44">
        <f>2017823-5700-J30-21327</f>
        <v>1685116</v>
      </c>
      <c r="K28" s="45">
        <f>622440-K30</f>
        <v>543843</v>
      </c>
      <c r="L28" s="44">
        <v>1831816</v>
      </c>
      <c r="M28" s="42">
        <v>41353</v>
      </c>
    </row>
    <row r="29" spans="1:13" ht="24" customHeight="1">
      <c r="A29" s="77" t="s">
        <v>123</v>
      </c>
      <c r="B29" s="78"/>
      <c r="C29" s="78"/>
      <c r="D29" s="78"/>
      <c r="E29" s="78"/>
      <c r="F29" s="78"/>
      <c r="G29" s="78"/>
      <c r="H29" s="79"/>
      <c r="I29" s="39"/>
      <c r="J29" s="44">
        <f>1880972-672571</f>
        <v>1208401</v>
      </c>
      <c r="K29" s="45">
        <v>68808</v>
      </c>
      <c r="L29" s="44">
        <v>1906755</v>
      </c>
      <c r="M29" s="42">
        <v>1288786</v>
      </c>
    </row>
    <row r="30" spans="1:13" ht="16.5" customHeight="1">
      <c r="A30" s="77" t="s">
        <v>110</v>
      </c>
      <c r="B30" s="78"/>
      <c r="C30" s="78"/>
      <c r="D30" s="78"/>
      <c r="E30" s="78"/>
      <c r="F30" s="78"/>
      <c r="G30" s="78"/>
      <c r="H30" s="79"/>
      <c r="I30" s="39"/>
      <c r="J30" s="46">
        <v>305680</v>
      </c>
      <c r="K30" s="47">
        <f>J30-227083</f>
        <v>78597</v>
      </c>
      <c r="L30" s="46"/>
      <c r="M30" s="42">
        <v>0</v>
      </c>
    </row>
    <row r="31" spans="1:13" ht="15.75" customHeight="1">
      <c r="A31" s="77" t="s">
        <v>177</v>
      </c>
      <c r="B31" s="78"/>
      <c r="C31" s="78"/>
      <c r="D31" s="78"/>
      <c r="E31" s="78"/>
      <c r="F31" s="78"/>
      <c r="G31" s="78"/>
      <c r="H31" s="79"/>
      <c r="I31" s="39"/>
      <c r="J31" s="41"/>
      <c r="K31" s="42"/>
      <c r="L31" s="41"/>
      <c r="M31" s="42">
        <v>0</v>
      </c>
    </row>
    <row r="32" spans="1:13" ht="16.5" customHeight="1">
      <c r="A32" s="77" t="s">
        <v>111</v>
      </c>
      <c r="B32" s="78"/>
      <c r="C32" s="78"/>
      <c r="D32" s="78"/>
      <c r="E32" s="78"/>
      <c r="F32" s="78"/>
      <c r="G32" s="78"/>
      <c r="H32" s="79"/>
      <c r="I32" s="39"/>
      <c r="J32" s="41"/>
      <c r="K32" s="42"/>
      <c r="L32" s="41"/>
      <c r="M32" s="42">
        <v>0</v>
      </c>
    </row>
    <row r="33" spans="1:13" ht="12">
      <c r="A33" s="77" t="s">
        <v>304</v>
      </c>
      <c r="B33" s="78"/>
      <c r="C33" s="78"/>
      <c r="D33" s="78"/>
      <c r="E33" s="78"/>
      <c r="F33" s="78"/>
      <c r="G33" s="78"/>
      <c r="H33" s="79"/>
      <c r="I33" s="39"/>
      <c r="J33" s="40">
        <f>SUM(J34:J37)</f>
        <v>1817549</v>
      </c>
      <c r="K33" s="40">
        <f>SUM(K34:K37)</f>
        <v>293266</v>
      </c>
      <c r="L33" s="40">
        <f>SUM(L34:L37)</f>
        <v>1077804</v>
      </c>
      <c r="M33" s="40">
        <f>SUM(M34:M37)</f>
        <v>164607</v>
      </c>
    </row>
    <row r="34" spans="1:13" ht="12">
      <c r="A34" s="77" t="s">
        <v>52</v>
      </c>
      <c r="B34" s="78"/>
      <c r="C34" s="78"/>
      <c r="D34" s="78"/>
      <c r="E34" s="78"/>
      <c r="F34" s="78"/>
      <c r="G34" s="78"/>
      <c r="H34" s="79"/>
      <c r="I34" s="39"/>
      <c r="J34" s="41">
        <f>8399-8399</f>
        <v>0</v>
      </c>
      <c r="K34" s="42">
        <v>1996</v>
      </c>
      <c r="L34" s="41"/>
      <c r="M34" s="42">
        <v>0</v>
      </c>
    </row>
    <row r="35" spans="1:13" ht="12">
      <c r="A35" s="77" t="s">
        <v>51</v>
      </c>
      <c r="B35" s="78"/>
      <c r="C35" s="78"/>
      <c r="D35" s="78"/>
      <c r="E35" s="78"/>
      <c r="F35" s="78"/>
      <c r="G35" s="78"/>
      <c r="H35" s="79"/>
      <c r="I35" s="39"/>
      <c r="J35" s="41">
        <f>1779830+37719</f>
        <v>1817549</v>
      </c>
      <c r="K35" s="42">
        <v>291270</v>
      </c>
      <c r="L35" s="41">
        <v>1077804</v>
      </c>
      <c r="M35" s="42">
        <v>164607</v>
      </c>
    </row>
    <row r="36" spans="1:13" ht="12">
      <c r="A36" s="77" t="s">
        <v>178</v>
      </c>
      <c r="B36" s="78"/>
      <c r="C36" s="78"/>
      <c r="D36" s="78"/>
      <c r="E36" s="78"/>
      <c r="F36" s="78"/>
      <c r="G36" s="78"/>
      <c r="H36" s="79"/>
      <c r="I36" s="39"/>
      <c r="J36" s="41"/>
      <c r="K36" s="42">
        <v>0</v>
      </c>
      <c r="L36" s="41"/>
      <c r="M36" s="42">
        <v>0</v>
      </c>
    </row>
    <row r="37" spans="1:13" ht="12">
      <c r="A37" s="77" t="s">
        <v>53</v>
      </c>
      <c r="B37" s="78"/>
      <c r="C37" s="78"/>
      <c r="D37" s="78"/>
      <c r="E37" s="78"/>
      <c r="F37" s="78"/>
      <c r="G37" s="78"/>
      <c r="H37" s="79"/>
      <c r="I37" s="39"/>
      <c r="J37" s="41"/>
      <c r="K37" s="42">
        <v>0</v>
      </c>
      <c r="L37" s="41"/>
      <c r="M37" s="42">
        <v>0</v>
      </c>
    </row>
    <row r="38" spans="1:13" ht="12">
      <c r="A38" s="77" t="s">
        <v>157</v>
      </c>
      <c r="B38" s="78"/>
      <c r="C38" s="78"/>
      <c r="D38" s="78"/>
      <c r="E38" s="78"/>
      <c r="F38" s="78"/>
      <c r="G38" s="78"/>
      <c r="H38" s="79"/>
      <c r="I38" s="39"/>
      <c r="J38" s="41"/>
      <c r="K38" s="42">
        <v>0</v>
      </c>
      <c r="L38" s="41"/>
      <c r="M38" s="42">
        <v>0</v>
      </c>
    </row>
    <row r="39" spans="1:13" ht="12">
      <c r="A39" s="77" t="s">
        <v>158</v>
      </c>
      <c r="B39" s="78"/>
      <c r="C39" s="78"/>
      <c r="D39" s="78"/>
      <c r="E39" s="78"/>
      <c r="F39" s="78"/>
      <c r="G39" s="78"/>
      <c r="H39" s="79"/>
      <c r="I39" s="39"/>
      <c r="J39" s="41"/>
      <c r="K39" s="42">
        <v>0</v>
      </c>
      <c r="L39" s="41"/>
      <c r="M39" s="42">
        <v>0</v>
      </c>
    </row>
    <row r="40" spans="1:13" ht="12">
      <c r="A40" s="77" t="s">
        <v>179</v>
      </c>
      <c r="B40" s="78"/>
      <c r="C40" s="78"/>
      <c r="D40" s="78"/>
      <c r="E40" s="78"/>
      <c r="F40" s="78"/>
      <c r="G40" s="78"/>
      <c r="H40" s="79"/>
      <c r="I40" s="39"/>
      <c r="J40" s="41"/>
      <c r="K40" s="42">
        <v>0</v>
      </c>
      <c r="L40" s="41"/>
      <c r="M40" s="42">
        <v>0</v>
      </c>
    </row>
    <row r="41" spans="1:13" ht="12">
      <c r="A41" s="77" t="s">
        <v>180</v>
      </c>
      <c r="B41" s="78"/>
      <c r="C41" s="78"/>
      <c r="D41" s="78"/>
      <c r="E41" s="78"/>
      <c r="F41" s="78"/>
      <c r="G41" s="78"/>
      <c r="H41" s="79"/>
      <c r="I41" s="39"/>
      <c r="J41" s="41"/>
      <c r="K41" s="42">
        <v>0</v>
      </c>
      <c r="L41" s="41"/>
      <c r="M41" s="42">
        <v>0</v>
      </c>
    </row>
    <row r="42" spans="1:13" ht="12">
      <c r="A42" s="77" t="s">
        <v>305</v>
      </c>
      <c r="B42" s="78"/>
      <c r="C42" s="78"/>
      <c r="D42" s="78"/>
      <c r="E42" s="78"/>
      <c r="F42" s="78"/>
      <c r="G42" s="78"/>
      <c r="H42" s="79"/>
      <c r="I42" s="39"/>
      <c r="J42" s="40">
        <f>J7+J27+J38+J40</f>
        <v>136847837</v>
      </c>
      <c r="K42" s="40">
        <f>K7+K27+K38+K40</f>
        <v>32107709</v>
      </c>
      <c r="L42" s="40">
        <f>L7+L27+L38+L40</f>
        <v>126482827</v>
      </c>
      <c r="M42" s="40">
        <f>M7+M27+M38+M40</f>
        <v>31577649</v>
      </c>
    </row>
    <row r="43" spans="1:13" ht="12">
      <c r="A43" s="77" t="s">
        <v>306</v>
      </c>
      <c r="B43" s="78"/>
      <c r="C43" s="78"/>
      <c r="D43" s="78"/>
      <c r="E43" s="78"/>
      <c r="F43" s="78"/>
      <c r="G43" s="78"/>
      <c r="H43" s="79"/>
      <c r="I43" s="39"/>
      <c r="J43" s="40">
        <f>J10+J33+J39+J41</f>
        <v>132844493</v>
      </c>
      <c r="K43" s="40">
        <f>K10+K33+K39+K41</f>
        <v>33608955</v>
      </c>
      <c r="L43" s="40">
        <f>L10+L33+L39+L41</f>
        <v>181725700</v>
      </c>
      <c r="M43" s="40">
        <f>M10+M33+M39+M41</f>
        <v>92167095</v>
      </c>
    </row>
    <row r="44" spans="1:13" ht="12">
      <c r="A44" s="77" t="s">
        <v>307</v>
      </c>
      <c r="B44" s="78"/>
      <c r="C44" s="78"/>
      <c r="D44" s="78"/>
      <c r="E44" s="78"/>
      <c r="F44" s="78"/>
      <c r="G44" s="78"/>
      <c r="H44" s="79"/>
      <c r="I44" s="39"/>
      <c r="J44" s="40">
        <f>J42-J43</f>
        <v>4003344</v>
      </c>
      <c r="K44" s="40">
        <f>K42-K43</f>
        <v>-1501246</v>
      </c>
      <c r="L44" s="40">
        <f>L42-L43</f>
        <v>-55242873</v>
      </c>
      <c r="M44" s="40">
        <f>M42-M43</f>
        <v>-60589446</v>
      </c>
    </row>
    <row r="45" spans="1:13" ht="12">
      <c r="A45" s="98" t="s">
        <v>173</v>
      </c>
      <c r="B45" s="99"/>
      <c r="C45" s="99"/>
      <c r="D45" s="99"/>
      <c r="E45" s="99"/>
      <c r="F45" s="99"/>
      <c r="G45" s="99"/>
      <c r="H45" s="100"/>
      <c r="I45" s="39"/>
      <c r="J45" s="41">
        <f>IF(J42&gt;J43,J42-J43,0)</f>
        <v>4003344</v>
      </c>
      <c r="K45" s="41">
        <f>IF(K42&gt;K43,K42-K43,0)</f>
        <v>0</v>
      </c>
      <c r="L45" s="41">
        <f>IF(L42&gt;L43,L42-L43,0)</f>
        <v>0</v>
      </c>
      <c r="M45" s="41">
        <f>IF(M42&gt;M43,M42-M43,0)</f>
        <v>0</v>
      </c>
    </row>
    <row r="46" spans="1:13" ht="12">
      <c r="A46" s="98" t="s">
        <v>174</v>
      </c>
      <c r="B46" s="99"/>
      <c r="C46" s="99"/>
      <c r="D46" s="99"/>
      <c r="E46" s="99"/>
      <c r="F46" s="99"/>
      <c r="G46" s="99"/>
      <c r="H46" s="100"/>
      <c r="I46" s="39"/>
      <c r="J46" s="41">
        <f>IF(J43&gt;J42,J43-J42,0)</f>
        <v>0</v>
      </c>
      <c r="K46" s="41">
        <f>IF(K43&gt;K42,K43-K42,0)</f>
        <v>1501246</v>
      </c>
      <c r="L46" s="41">
        <f>IF(L43&gt;L42,L43-L42,0)</f>
        <v>55242873</v>
      </c>
      <c r="M46" s="41">
        <f>IF(M43&gt;M42,M43-M42,0)</f>
        <v>60589446</v>
      </c>
    </row>
    <row r="47" spans="1:13" ht="12">
      <c r="A47" s="77" t="s">
        <v>172</v>
      </c>
      <c r="B47" s="78"/>
      <c r="C47" s="78"/>
      <c r="D47" s="78"/>
      <c r="E47" s="78"/>
      <c r="F47" s="78"/>
      <c r="G47" s="78"/>
      <c r="H47" s="79"/>
      <c r="I47" s="39"/>
      <c r="J47" s="41">
        <v>851695</v>
      </c>
      <c r="K47" s="42"/>
      <c r="L47" s="41"/>
      <c r="M47" s="41"/>
    </row>
    <row r="48" spans="1:13" ht="12">
      <c r="A48" s="77" t="s">
        <v>308</v>
      </c>
      <c r="B48" s="78"/>
      <c r="C48" s="78"/>
      <c r="D48" s="78"/>
      <c r="E48" s="78"/>
      <c r="F48" s="78"/>
      <c r="G48" s="78"/>
      <c r="H48" s="79"/>
      <c r="I48" s="39"/>
      <c r="J48" s="40">
        <f>J44-J47</f>
        <v>3151649</v>
      </c>
      <c r="K48" s="40">
        <f>K44-K47</f>
        <v>-1501246</v>
      </c>
      <c r="L48" s="40">
        <f>L44-L47</f>
        <v>-55242873</v>
      </c>
      <c r="M48" s="40">
        <f>M44-M47</f>
        <v>-60589446</v>
      </c>
    </row>
    <row r="49" spans="1:13" ht="12">
      <c r="A49" s="98" t="s">
        <v>155</v>
      </c>
      <c r="B49" s="99"/>
      <c r="C49" s="99"/>
      <c r="D49" s="99"/>
      <c r="E49" s="99"/>
      <c r="F49" s="99"/>
      <c r="G49" s="99"/>
      <c r="H49" s="100"/>
      <c r="I49" s="39"/>
      <c r="J49" s="41">
        <f>IF(J48&gt;0,J48,0)</f>
        <v>3151649</v>
      </c>
      <c r="K49" s="41">
        <f>IF(K48&gt;0,K48,0)</f>
        <v>0</v>
      </c>
      <c r="L49" s="41">
        <f>IF(L48&gt;0,L48,0)</f>
        <v>0</v>
      </c>
      <c r="M49" s="41">
        <f>IF(M48&gt;0,M48,0)</f>
        <v>0</v>
      </c>
    </row>
    <row r="50" spans="1:13" ht="12">
      <c r="A50" s="95" t="s">
        <v>175</v>
      </c>
      <c r="B50" s="96"/>
      <c r="C50" s="96"/>
      <c r="D50" s="96"/>
      <c r="E50" s="96"/>
      <c r="F50" s="96"/>
      <c r="G50" s="96"/>
      <c r="H50" s="97"/>
      <c r="I50" s="39"/>
      <c r="J50" s="41">
        <f>IF(J48&lt;0,-J48,0)</f>
        <v>0</v>
      </c>
      <c r="K50" s="41">
        <f>IF(K48&lt;0,-K48,0)</f>
        <v>1501246</v>
      </c>
      <c r="L50" s="41">
        <f>IF(L48&lt;0,-L48,0)</f>
        <v>55242873</v>
      </c>
      <c r="M50" s="41">
        <f>IF(M48&lt;0,-M48,0)</f>
        <v>60589446</v>
      </c>
    </row>
    <row r="51" spans="1:13" ht="12.75" customHeight="1">
      <c r="A51" s="93" t="s">
        <v>260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 customHeight="1">
      <c r="A52" s="90" t="s">
        <v>150</v>
      </c>
      <c r="B52" s="91"/>
      <c r="C52" s="91"/>
      <c r="D52" s="91"/>
      <c r="E52" s="91"/>
      <c r="F52" s="91"/>
      <c r="G52" s="91"/>
      <c r="H52" s="91"/>
      <c r="I52" s="48"/>
      <c r="J52" s="48"/>
      <c r="K52" s="48"/>
      <c r="L52" s="48"/>
      <c r="M52" s="49"/>
    </row>
    <row r="53" spans="1:13" ht="12">
      <c r="A53" s="87" t="s">
        <v>188</v>
      </c>
      <c r="B53" s="88"/>
      <c r="C53" s="88"/>
      <c r="D53" s="88"/>
      <c r="E53" s="88"/>
      <c r="F53" s="88"/>
      <c r="G53" s="88"/>
      <c r="H53" s="89"/>
      <c r="I53" s="50"/>
      <c r="J53" s="50"/>
      <c r="K53" s="7"/>
      <c r="L53" s="7"/>
      <c r="M53" s="7"/>
    </row>
    <row r="54" spans="1:13" ht="12">
      <c r="A54" s="87" t="s">
        <v>189</v>
      </c>
      <c r="B54" s="88"/>
      <c r="C54" s="88"/>
      <c r="D54" s="88"/>
      <c r="E54" s="88"/>
      <c r="F54" s="88"/>
      <c r="G54" s="88"/>
      <c r="H54" s="89"/>
      <c r="I54" s="50"/>
      <c r="J54" s="51"/>
      <c r="K54" s="6"/>
      <c r="L54" s="6"/>
      <c r="M54" s="6"/>
    </row>
    <row r="55" spans="1:13" ht="12.75" customHeight="1">
      <c r="A55" s="93" t="s">
        <v>152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">
      <c r="A56" s="90" t="s">
        <v>163</v>
      </c>
      <c r="B56" s="91"/>
      <c r="C56" s="91"/>
      <c r="D56" s="91"/>
      <c r="E56" s="91"/>
      <c r="F56" s="91"/>
      <c r="G56" s="91"/>
      <c r="H56" s="92"/>
      <c r="I56" s="52"/>
      <c r="J56" s="13">
        <f>J48</f>
        <v>3151649</v>
      </c>
      <c r="K56" s="13">
        <f>K48</f>
        <v>-1501246</v>
      </c>
      <c r="L56" s="13">
        <f>L48</f>
        <v>-55242873</v>
      </c>
      <c r="M56" s="13">
        <f>M48</f>
        <v>-60589446</v>
      </c>
    </row>
    <row r="57" spans="1:13" ht="12">
      <c r="A57" s="77" t="s">
        <v>309</v>
      </c>
      <c r="B57" s="78"/>
      <c r="C57" s="78"/>
      <c r="D57" s="78"/>
      <c r="E57" s="78"/>
      <c r="F57" s="78"/>
      <c r="G57" s="78"/>
      <c r="H57" s="79"/>
      <c r="I57" s="50"/>
      <c r="J57" s="14">
        <f>SUM(J58:J64)</f>
        <v>0</v>
      </c>
      <c r="K57" s="14">
        <f>SUM(K58:K64)</f>
        <v>0</v>
      </c>
      <c r="L57" s="14">
        <f>SUM(L58:L64)</f>
        <v>0</v>
      </c>
      <c r="M57" s="14">
        <f>SUM(M58:M64)</f>
        <v>0</v>
      </c>
    </row>
    <row r="58" spans="1:13" ht="12">
      <c r="A58" s="77" t="s">
        <v>182</v>
      </c>
      <c r="B58" s="78"/>
      <c r="C58" s="78"/>
      <c r="D58" s="78"/>
      <c r="E58" s="78"/>
      <c r="F58" s="78"/>
      <c r="G58" s="78"/>
      <c r="H58" s="79"/>
      <c r="I58" s="50"/>
      <c r="J58" s="7"/>
      <c r="K58" s="7"/>
      <c r="L58" s="7"/>
      <c r="M58" s="7"/>
    </row>
    <row r="59" spans="1:13" ht="12">
      <c r="A59" s="77" t="s">
        <v>183</v>
      </c>
      <c r="B59" s="78"/>
      <c r="C59" s="78"/>
      <c r="D59" s="78"/>
      <c r="E59" s="78"/>
      <c r="F59" s="78"/>
      <c r="G59" s="78"/>
      <c r="H59" s="79"/>
      <c r="I59" s="50"/>
      <c r="J59" s="7"/>
      <c r="K59" s="7"/>
      <c r="L59" s="7"/>
      <c r="M59" s="7"/>
    </row>
    <row r="60" spans="1:13" ht="12">
      <c r="A60" s="77" t="s">
        <v>34</v>
      </c>
      <c r="B60" s="78"/>
      <c r="C60" s="78"/>
      <c r="D60" s="78"/>
      <c r="E60" s="78"/>
      <c r="F60" s="78"/>
      <c r="G60" s="78"/>
      <c r="H60" s="79"/>
      <c r="I60" s="50"/>
      <c r="J60" s="7"/>
      <c r="K60" s="7"/>
      <c r="L60" s="7"/>
      <c r="M60" s="7"/>
    </row>
    <row r="61" spans="1:13" ht="12">
      <c r="A61" s="77" t="s">
        <v>184</v>
      </c>
      <c r="B61" s="78"/>
      <c r="C61" s="78"/>
      <c r="D61" s="78"/>
      <c r="E61" s="78"/>
      <c r="F61" s="78"/>
      <c r="G61" s="78"/>
      <c r="H61" s="79"/>
      <c r="I61" s="50"/>
      <c r="J61" s="7"/>
      <c r="K61" s="7"/>
      <c r="L61" s="7"/>
      <c r="M61" s="7"/>
    </row>
    <row r="62" spans="1:13" ht="12">
      <c r="A62" s="77" t="s">
        <v>185</v>
      </c>
      <c r="B62" s="78"/>
      <c r="C62" s="78"/>
      <c r="D62" s="78"/>
      <c r="E62" s="78"/>
      <c r="F62" s="78"/>
      <c r="G62" s="78"/>
      <c r="H62" s="79"/>
      <c r="I62" s="50"/>
      <c r="J62" s="7"/>
      <c r="K62" s="7"/>
      <c r="L62" s="7"/>
      <c r="M62" s="7"/>
    </row>
    <row r="63" spans="1:13" ht="12">
      <c r="A63" s="77" t="s">
        <v>186</v>
      </c>
      <c r="B63" s="78"/>
      <c r="C63" s="78"/>
      <c r="D63" s="78"/>
      <c r="E63" s="78"/>
      <c r="F63" s="78"/>
      <c r="G63" s="78"/>
      <c r="H63" s="79"/>
      <c r="I63" s="50"/>
      <c r="J63" s="7"/>
      <c r="K63" s="7"/>
      <c r="L63" s="7"/>
      <c r="M63" s="7"/>
    </row>
    <row r="64" spans="1:13" ht="12">
      <c r="A64" s="77" t="s">
        <v>187</v>
      </c>
      <c r="B64" s="78"/>
      <c r="C64" s="78"/>
      <c r="D64" s="78"/>
      <c r="E64" s="78"/>
      <c r="F64" s="78"/>
      <c r="G64" s="78"/>
      <c r="H64" s="79"/>
      <c r="I64" s="50"/>
      <c r="J64" s="7"/>
      <c r="K64" s="7"/>
      <c r="L64" s="7"/>
      <c r="M64" s="7"/>
    </row>
    <row r="65" spans="1:13" ht="12">
      <c r="A65" s="77" t="s">
        <v>176</v>
      </c>
      <c r="B65" s="78"/>
      <c r="C65" s="78"/>
      <c r="D65" s="78"/>
      <c r="E65" s="78"/>
      <c r="F65" s="78"/>
      <c r="G65" s="78"/>
      <c r="H65" s="79"/>
      <c r="I65" s="50"/>
      <c r="J65" s="7"/>
      <c r="K65" s="7"/>
      <c r="L65" s="7"/>
      <c r="M65" s="7"/>
    </row>
    <row r="66" spans="1:13" ht="12">
      <c r="A66" s="77" t="s">
        <v>310</v>
      </c>
      <c r="B66" s="78"/>
      <c r="C66" s="78"/>
      <c r="D66" s="78"/>
      <c r="E66" s="78"/>
      <c r="F66" s="78"/>
      <c r="G66" s="78"/>
      <c r="H66" s="79"/>
      <c r="I66" s="50"/>
      <c r="J66" s="14">
        <f>J57-J65</f>
        <v>0</v>
      </c>
      <c r="K66" s="14">
        <f>K57-K65</f>
        <v>0</v>
      </c>
      <c r="L66" s="14">
        <f>L57-L65</f>
        <v>0</v>
      </c>
      <c r="M66" s="14">
        <f>M57-M65</f>
        <v>0</v>
      </c>
    </row>
    <row r="67" spans="1:13" ht="12">
      <c r="A67" s="77" t="s">
        <v>156</v>
      </c>
      <c r="B67" s="78"/>
      <c r="C67" s="78"/>
      <c r="D67" s="78"/>
      <c r="E67" s="78"/>
      <c r="F67" s="78"/>
      <c r="G67" s="78"/>
      <c r="H67" s="79"/>
      <c r="I67" s="50"/>
      <c r="J67" s="53">
        <f>J56+J66</f>
        <v>3151649</v>
      </c>
      <c r="K67" s="53">
        <f>K56+K66</f>
        <v>-1501246</v>
      </c>
      <c r="L67" s="53">
        <f>L56+L66</f>
        <v>-55242873</v>
      </c>
      <c r="M67" s="53">
        <f>M56+M66</f>
        <v>-60589446</v>
      </c>
    </row>
    <row r="68" spans="1:13" ht="12.75" customHeight="1">
      <c r="A68" s="80" t="s">
        <v>261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2.75" customHeight="1">
      <c r="A69" s="82" t="s">
        <v>151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1:13" ht="12">
      <c r="A70" s="84" t="s">
        <v>188</v>
      </c>
      <c r="B70" s="85"/>
      <c r="C70" s="85"/>
      <c r="D70" s="85"/>
      <c r="E70" s="85"/>
      <c r="F70" s="85"/>
      <c r="G70" s="85"/>
      <c r="H70" s="86"/>
      <c r="I70" s="1"/>
      <c r="J70" s="54"/>
      <c r="K70" s="7"/>
      <c r="L70" s="55"/>
      <c r="M70" s="7"/>
    </row>
    <row r="71" spans="1:13" ht="12">
      <c r="A71" s="74" t="s">
        <v>189</v>
      </c>
      <c r="B71" s="75"/>
      <c r="C71" s="75"/>
      <c r="D71" s="75"/>
      <c r="E71" s="75"/>
      <c r="F71" s="75"/>
      <c r="G71" s="75"/>
      <c r="H71" s="76"/>
      <c r="I71" s="4"/>
      <c r="J71" s="4"/>
      <c r="K71" s="6"/>
      <c r="L71" s="4"/>
      <c r="M71" s="56"/>
    </row>
  </sheetData>
  <mergeCells count="73">
    <mergeCell ref="A5:H5"/>
    <mergeCell ref="A3:M3"/>
    <mergeCell ref="A4:H4"/>
    <mergeCell ref="L4:M4"/>
    <mergeCell ref="J4:K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2">
    <dataValidation type="whole" operator="notEqual" allowBlank="1" showInputMessage="1" showErrorMessage="1" errorTitle="Pogrešan unos" error="Mogu se unijeti samo cjelobrojne vrijednosti." sqref="M56:M57 M53 K53:L54 J66:M67 K70:K71 L70 J70 L56:L65 K56:K57 J56:J6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M22 L23:L47 J48:M50 M12 M33 M42:M47 M7 M16 L7:L21 K7 K16 J11:J21 K33 J23:J47 K42:K46 K27 K12 J7:J9 M27 J10:K10 M1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126"/>
  <sheetViews>
    <sheetView view="pageBreakPreview" zoomScaleSheetLayoutView="100" workbookViewId="0" topLeftCell="A73">
      <selection activeCell="J126" sqref="J126:K126"/>
    </sheetView>
  </sheetViews>
  <sheetFormatPr defaultColWidth="9.140625" defaultRowHeight="12.75"/>
  <cols>
    <col min="1" max="7" width="9.140625" style="10" customWidth="1"/>
    <col min="8" max="8" width="5.7109375" style="10" customWidth="1"/>
    <col min="9" max="9" width="9.140625" style="10" customWidth="1"/>
    <col min="10" max="10" width="11.7109375" style="10" customWidth="1"/>
    <col min="11" max="11" width="12.57421875" style="10" customWidth="1"/>
    <col min="12" max="16384" width="9.140625" style="10" customWidth="1"/>
  </cols>
  <sheetData>
    <row r="1" spans="1:11" ht="12.75" customHeight="1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 customHeight="1">
      <c r="A2" s="146" t="s">
        <v>293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2">
      <c r="A3" s="147" t="s">
        <v>285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</row>
    <row r="4" spans="1:11" ht="24">
      <c r="A4" s="107" t="s">
        <v>45</v>
      </c>
      <c r="B4" s="150"/>
      <c r="C4" s="150"/>
      <c r="D4" s="150"/>
      <c r="E4" s="150"/>
      <c r="F4" s="150"/>
      <c r="G4" s="150"/>
      <c r="H4" s="108"/>
      <c r="I4" s="5" t="s">
        <v>286</v>
      </c>
      <c r="J4" s="8" t="s">
        <v>265</v>
      </c>
      <c r="K4" s="5" t="s">
        <v>266</v>
      </c>
    </row>
    <row r="5" spans="1:11" ht="12">
      <c r="A5" s="142">
        <v>1</v>
      </c>
      <c r="B5" s="142"/>
      <c r="C5" s="142"/>
      <c r="D5" s="142"/>
      <c r="E5" s="142"/>
      <c r="F5" s="142"/>
      <c r="G5" s="142"/>
      <c r="H5" s="142"/>
      <c r="I5" s="12">
        <v>2</v>
      </c>
      <c r="J5" s="11">
        <v>3</v>
      </c>
      <c r="K5" s="11">
        <v>4</v>
      </c>
    </row>
    <row r="6" spans="1:11" ht="1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5"/>
    </row>
    <row r="7" spans="1:11" ht="12">
      <c r="A7" s="118" t="s">
        <v>46</v>
      </c>
      <c r="B7" s="119"/>
      <c r="C7" s="119"/>
      <c r="D7" s="119"/>
      <c r="E7" s="119"/>
      <c r="F7" s="119"/>
      <c r="G7" s="119"/>
      <c r="H7" s="136"/>
      <c r="I7" s="3">
        <v>1</v>
      </c>
      <c r="J7" s="13"/>
      <c r="K7" s="13"/>
    </row>
    <row r="8" spans="1:11" ht="12">
      <c r="A8" s="125" t="s">
        <v>7</v>
      </c>
      <c r="B8" s="126"/>
      <c r="C8" s="126"/>
      <c r="D8" s="126"/>
      <c r="E8" s="126"/>
      <c r="F8" s="126"/>
      <c r="G8" s="126"/>
      <c r="H8" s="127"/>
      <c r="I8" s="1">
        <v>2</v>
      </c>
      <c r="J8" s="16">
        <f>J9+J16+J26+J35+J39</f>
        <v>342143776</v>
      </c>
      <c r="K8" s="16">
        <f>K9+K16+K26+K35+K39</f>
        <v>320298190</v>
      </c>
    </row>
    <row r="9" spans="1:11" ht="12">
      <c r="A9" s="122" t="s">
        <v>164</v>
      </c>
      <c r="B9" s="123"/>
      <c r="C9" s="123"/>
      <c r="D9" s="123"/>
      <c r="E9" s="123"/>
      <c r="F9" s="123"/>
      <c r="G9" s="123"/>
      <c r="H9" s="124"/>
      <c r="I9" s="1">
        <v>3</v>
      </c>
      <c r="J9" s="16">
        <f>SUM(J10:J15)</f>
        <v>516731</v>
      </c>
      <c r="K9" s="16">
        <f>SUM(K10:K15)</f>
        <v>512909</v>
      </c>
    </row>
    <row r="10" spans="1:11" ht="12">
      <c r="A10" s="122" t="s">
        <v>94</v>
      </c>
      <c r="B10" s="123"/>
      <c r="C10" s="123"/>
      <c r="D10" s="123"/>
      <c r="E10" s="123"/>
      <c r="F10" s="123"/>
      <c r="G10" s="123"/>
      <c r="H10" s="124"/>
      <c r="I10" s="1">
        <v>4</v>
      </c>
      <c r="J10" s="7"/>
      <c r="K10" s="7"/>
    </row>
    <row r="11" spans="1:11" ht="12">
      <c r="A11" s="122" t="s">
        <v>8</v>
      </c>
      <c r="B11" s="123"/>
      <c r="C11" s="123"/>
      <c r="D11" s="123"/>
      <c r="E11" s="123"/>
      <c r="F11" s="123"/>
      <c r="G11" s="123"/>
      <c r="H11" s="124"/>
      <c r="I11" s="1">
        <v>5</v>
      </c>
      <c r="J11" s="7">
        <v>516731</v>
      </c>
      <c r="K11" s="7">
        <v>512909</v>
      </c>
    </row>
    <row r="12" spans="1:11" ht="12">
      <c r="A12" s="122" t="s">
        <v>95</v>
      </c>
      <c r="B12" s="123"/>
      <c r="C12" s="123"/>
      <c r="D12" s="123"/>
      <c r="E12" s="123"/>
      <c r="F12" s="123"/>
      <c r="G12" s="123"/>
      <c r="H12" s="124"/>
      <c r="I12" s="1">
        <v>6</v>
      </c>
      <c r="J12" s="7"/>
      <c r="K12" s="7"/>
    </row>
    <row r="13" spans="1:11" ht="12">
      <c r="A13" s="122" t="s">
        <v>167</v>
      </c>
      <c r="B13" s="123"/>
      <c r="C13" s="123"/>
      <c r="D13" s="123"/>
      <c r="E13" s="123"/>
      <c r="F13" s="123"/>
      <c r="G13" s="123"/>
      <c r="H13" s="124"/>
      <c r="I13" s="1">
        <v>7</v>
      </c>
      <c r="J13" s="7"/>
      <c r="K13" s="7"/>
    </row>
    <row r="14" spans="1:11" ht="12">
      <c r="A14" s="122" t="s">
        <v>168</v>
      </c>
      <c r="B14" s="123"/>
      <c r="C14" s="123"/>
      <c r="D14" s="123"/>
      <c r="E14" s="123"/>
      <c r="F14" s="123"/>
      <c r="G14" s="123"/>
      <c r="H14" s="124"/>
      <c r="I14" s="1">
        <v>8</v>
      </c>
      <c r="J14" s="7"/>
      <c r="K14" s="7"/>
    </row>
    <row r="15" spans="1:11" ht="12">
      <c r="A15" s="122" t="s">
        <v>169</v>
      </c>
      <c r="B15" s="123"/>
      <c r="C15" s="123"/>
      <c r="D15" s="123"/>
      <c r="E15" s="123"/>
      <c r="F15" s="123"/>
      <c r="G15" s="123"/>
      <c r="H15" s="124"/>
      <c r="I15" s="1">
        <v>9</v>
      </c>
      <c r="J15" s="7"/>
      <c r="K15" s="7"/>
    </row>
    <row r="16" spans="1:11" ht="12">
      <c r="A16" s="125" t="s">
        <v>165</v>
      </c>
      <c r="B16" s="126"/>
      <c r="C16" s="126"/>
      <c r="D16" s="126"/>
      <c r="E16" s="126"/>
      <c r="F16" s="126"/>
      <c r="G16" s="126"/>
      <c r="H16" s="127"/>
      <c r="I16" s="1">
        <v>10</v>
      </c>
      <c r="J16" s="16">
        <f>SUM(J17:J25)</f>
        <v>180669157</v>
      </c>
      <c r="K16" s="16">
        <f>SUM(K17:K25)</f>
        <v>172230266</v>
      </c>
    </row>
    <row r="17" spans="1:11" ht="12">
      <c r="A17" s="122" t="s">
        <v>170</v>
      </c>
      <c r="B17" s="123"/>
      <c r="C17" s="123"/>
      <c r="D17" s="123"/>
      <c r="E17" s="123"/>
      <c r="F17" s="123"/>
      <c r="G17" s="123"/>
      <c r="H17" s="124"/>
      <c r="I17" s="1">
        <v>11</v>
      </c>
      <c r="J17" s="7">
        <f>11655873+9348037</f>
        <v>21003910</v>
      </c>
      <c r="K17" s="7">
        <f>11655873+9348037</f>
        <v>21003910</v>
      </c>
    </row>
    <row r="18" spans="1:11" ht="12">
      <c r="A18" s="122" t="s">
        <v>199</v>
      </c>
      <c r="B18" s="123"/>
      <c r="C18" s="123"/>
      <c r="D18" s="123"/>
      <c r="E18" s="123"/>
      <c r="F18" s="123"/>
      <c r="G18" s="123"/>
      <c r="H18" s="124"/>
      <c r="I18" s="1">
        <v>12</v>
      </c>
      <c r="J18" s="7">
        <f>75751923+70014905-9348037-12584063</f>
        <v>123834728</v>
      </c>
      <c r="K18" s="7">
        <f>73648063+70014905-9348037-12584063-2474814</f>
        <v>119256054</v>
      </c>
    </row>
    <row r="19" spans="1:11" ht="12">
      <c r="A19" s="122" t="s">
        <v>171</v>
      </c>
      <c r="B19" s="123"/>
      <c r="C19" s="123"/>
      <c r="D19" s="123"/>
      <c r="E19" s="123"/>
      <c r="F19" s="123"/>
      <c r="G19" s="123"/>
      <c r="H19" s="124"/>
      <c r="I19" s="1">
        <v>13</v>
      </c>
      <c r="J19" s="7">
        <v>32947484</v>
      </c>
      <c r="K19" s="7">
        <v>29338911</v>
      </c>
    </row>
    <row r="20" spans="1:11" ht="12">
      <c r="A20" s="122" t="s">
        <v>16</v>
      </c>
      <c r="B20" s="123"/>
      <c r="C20" s="123"/>
      <c r="D20" s="123"/>
      <c r="E20" s="123"/>
      <c r="F20" s="123"/>
      <c r="G20" s="123"/>
      <c r="H20" s="124"/>
      <c r="I20" s="1">
        <v>14</v>
      </c>
      <c r="J20" s="7">
        <v>993003</v>
      </c>
      <c r="K20" s="7">
        <v>803619</v>
      </c>
    </row>
    <row r="21" spans="1:11" ht="12">
      <c r="A21" s="122" t="s">
        <v>17</v>
      </c>
      <c r="B21" s="123"/>
      <c r="C21" s="123"/>
      <c r="D21" s="123"/>
      <c r="E21" s="123"/>
      <c r="F21" s="123"/>
      <c r="G21" s="123"/>
      <c r="H21" s="124"/>
      <c r="I21" s="1">
        <v>15</v>
      </c>
      <c r="J21" s="7"/>
      <c r="K21" s="7"/>
    </row>
    <row r="22" spans="1:11" ht="12">
      <c r="A22" s="122" t="s">
        <v>58</v>
      </c>
      <c r="B22" s="123"/>
      <c r="C22" s="123"/>
      <c r="D22" s="123"/>
      <c r="E22" s="123"/>
      <c r="F22" s="123"/>
      <c r="G22" s="123"/>
      <c r="H22" s="124"/>
      <c r="I22" s="1">
        <v>16</v>
      </c>
      <c r="J22" s="7">
        <v>769274</v>
      </c>
      <c r="K22" s="7">
        <v>769273</v>
      </c>
    </row>
    <row r="23" spans="1:11" ht="12">
      <c r="A23" s="122" t="s">
        <v>59</v>
      </c>
      <c r="B23" s="123"/>
      <c r="C23" s="123"/>
      <c r="D23" s="123"/>
      <c r="E23" s="123"/>
      <c r="F23" s="123"/>
      <c r="G23" s="123"/>
      <c r="H23" s="124"/>
      <c r="I23" s="1">
        <v>17</v>
      </c>
      <c r="J23" s="7">
        <v>126488</v>
      </c>
      <c r="K23" s="7">
        <v>168338</v>
      </c>
    </row>
    <row r="24" spans="1:11" ht="12">
      <c r="A24" s="122" t="s">
        <v>60</v>
      </c>
      <c r="B24" s="123"/>
      <c r="C24" s="123"/>
      <c r="D24" s="123"/>
      <c r="E24" s="123"/>
      <c r="F24" s="123"/>
      <c r="G24" s="123"/>
      <c r="H24" s="124"/>
      <c r="I24" s="1">
        <v>18</v>
      </c>
      <c r="J24" s="7">
        <f>820415+173855</f>
        <v>994270</v>
      </c>
      <c r="K24" s="7">
        <v>890161</v>
      </c>
    </row>
    <row r="25" spans="1:11" ht="12">
      <c r="A25" s="122" t="s">
        <v>61</v>
      </c>
      <c r="B25" s="123"/>
      <c r="C25" s="123"/>
      <c r="D25" s="123"/>
      <c r="E25" s="123"/>
      <c r="F25" s="123"/>
      <c r="G25" s="123"/>
      <c r="H25" s="124"/>
      <c r="I25" s="1">
        <v>19</v>
      </c>
      <c r="J25" s="7"/>
      <c r="K25" s="7"/>
    </row>
    <row r="26" spans="1:11" ht="12">
      <c r="A26" s="125" t="s">
        <v>153</v>
      </c>
      <c r="B26" s="126"/>
      <c r="C26" s="126"/>
      <c r="D26" s="126"/>
      <c r="E26" s="126"/>
      <c r="F26" s="126"/>
      <c r="G26" s="126"/>
      <c r="H26" s="127"/>
      <c r="I26" s="1">
        <v>20</v>
      </c>
      <c r="J26" s="16">
        <f>SUM(J27:J34)</f>
        <v>160957888</v>
      </c>
      <c r="K26" s="16">
        <f>SUM(K27:K34)</f>
        <v>120908024</v>
      </c>
    </row>
    <row r="27" spans="1:11" ht="12">
      <c r="A27" s="122" t="s">
        <v>62</v>
      </c>
      <c r="B27" s="123"/>
      <c r="C27" s="123"/>
      <c r="D27" s="123"/>
      <c r="E27" s="123"/>
      <c r="F27" s="123"/>
      <c r="G27" s="123"/>
      <c r="H27" s="124"/>
      <c r="I27" s="1">
        <v>21</v>
      </c>
      <c r="J27" s="7">
        <f>190000+2358500+12463941+7818634</f>
        <v>22831075</v>
      </c>
      <c r="K27" s="7">
        <f>190000+2358500+12463941+7818634</f>
        <v>22831075</v>
      </c>
    </row>
    <row r="28" spans="1:11" ht="12">
      <c r="A28" s="122" t="s">
        <v>63</v>
      </c>
      <c r="B28" s="123"/>
      <c r="C28" s="123"/>
      <c r="D28" s="123"/>
      <c r="E28" s="123"/>
      <c r="F28" s="123"/>
      <c r="G28" s="123"/>
      <c r="H28" s="124"/>
      <c r="I28" s="1">
        <v>22</v>
      </c>
      <c r="J28" s="7">
        <v>41484024</v>
      </c>
      <c r="K28" s="7">
        <f>3108127-3108127</f>
        <v>0</v>
      </c>
    </row>
    <row r="29" spans="1:11" ht="12">
      <c r="A29" s="122" t="s">
        <v>64</v>
      </c>
      <c r="B29" s="123"/>
      <c r="C29" s="123"/>
      <c r="D29" s="123"/>
      <c r="E29" s="123"/>
      <c r="F29" s="123"/>
      <c r="G29" s="123"/>
      <c r="H29" s="124"/>
      <c r="I29" s="1">
        <v>23</v>
      </c>
      <c r="J29" s="7">
        <v>94924000</v>
      </c>
      <c r="K29" s="7">
        <v>94924000</v>
      </c>
    </row>
    <row r="30" spans="1:11" ht="12">
      <c r="A30" s="122" t="s">
        <v>69</v>
      </c>
      <c r="B30" s="123"/>
      <c r="C30" s="123"/>
      <c r="D30" s="123"/>
      <c r="E30" s="123"/>
      <c r="F30" s="123"/>
      <c r="G30" s="123"/>
      <c r="H30" s="124"/>
      <c r="I30" s="1">
        <v>24</v>
      </c>
      <c r="J30" s="7"/>
      <c r="K30" s="7"/>
    </row>
    <row r="31" spans="1:11" ht="12">
      <c r="A31" s="122" t="s">
        <v>70</v>
      </c>
      <c r="B31" s="123"/>
      <c r="C31" s="123"/>
      <c r="D31" s="123"/>
      <c r="E31" s="123"/>
      <c r="F31" s="123"/>
      <c r="G31" s="123"/>
      <c r="H31" s="124"/>
      <c r="I31" s="1">
        <v>25</v>
      </c>
      <c r="J31" s="7">
        <f>9733+10790+367200+318900</f>
        <v>706623</v>
      </c>
      <c r="K31" s="7">
        <f>9733+10790+367200+318900+76250</f>
        <v>782873</v>
      </c>
    </row>
    <row r="32" spans="1:11" ht="12">
      <c r="A32" s="122" t="s">
        <v>71</v>
      </c>
      <c r="B32" s="123"/>
      <c r="C32" s="123"/>
      <c r="D32" s="123"/>
      <c r="E32" s="123"/>
      <c r="F32" s="123"/>
      <c r="G32" s="123"/>
      <c r="H32" s="124"/>
      <c r="I32" s="1">
        <v>26</v>
      </c>
      <c r="J32" s="7">
        <f>42496190-J28</f>
        <v>1012166</v>
      </c>
      <c r="K32" s="7">
        <f>5370076-3000000</f>
        <v>2370076</v>
      </c>
    </row>
    <row r="33" spans="1:11" ht="12">
      <c r="A33" s="122" t="s">
        <v>65</v>
      </c>
      <c r="B33" s="123"/>
      <c r="C33" s="123"/>
      <c r="D33" s="123"/>
      <c r="E33" s="123"/>
      <c r="F33" s="123"/>
      <c r="G33" s="123"/>
      <c r="H33" s="124"/>
      <c r="I33" s="1">
        <v>27</v>
      </c>
      <c r="J33" s="7"/>
      <c r="K33" s="7"/>
    </row>
    <row r="34" spans="1:11" ht="12">
      <c r="A34" s="122" t="s">
        <v>146</v>
      </c>
      <c r="B34" s="123"/>
      <c r="C34" s="123"/>
      <c r="D34" s="123"/>
      <c r="E34" s="123"/>
      <c r="F34" s="123"/>
      <c r="G34" s="123"/>
      <c r="H34" s="124"/>
      <c r="I34" s="1">
        <v>28</v>
      </c>
      <c r="J34" s="7"/>
      <c r="K34" s="7"/>
    </row>
    <row r="35" spans="1:11" ht="12">
      <c r="A35" s="122" t="s">
        <v>147</v>
      </c>
      <c r="B35" s="123"/>
      <c r="C35" s="123"/>
      <c r="D35" s="123"/>
      <c r="E35" s="123"/>
      <c r="F35" s="123"/>
      <c r="G35" s="123"/>
      <c r="H35" s="124"/>
      <c r="I35" s="1">
        <v>29</v>
      </c>
      <c r="J35" s="16">
        <f>SUM(J36:J38)</f>
        <v>0</v>
      </c>
      <c r="K35" s="16">
        <f>SUM(K36:K38)</f>
        <v>26646991</v>
      </c>
    </row>
    <row r="36" spans="1:11" ht="12">
      <c r="A36" s="122" t="s">
        <v>66</v>
      </c>
      <c r="B36" s="123"/>
      <c r="C36" s="123"/>
      <c r="D36" s="123"/>
      <c r="E36" s="123"/>
      <c r="F36" s="123"/>
      <c r="G36" s="123"/>
      <c r="H36" s="124"/>
      <c r="I36" s="1">
        <v>30</v>
      </c>
      <c r="J36" s="7"/>
      <c r="K36" s="7">
        <f>47411991-19100000-1665000</f>
        <v>26646991</v>
      </c>
    </row>
    <row r="37" spans="1:11" ht="12">
      <c r="A37" s="122" t="s">
        <v>67</v>
      </c>
      <c r="B37" s="123"/>
      <c r="C37" s="123"/>
      <c r="D37" s="123"/>
      <c r="E37" s="123"/>
      <c r="F37" s="123"/>
      <c r="G37" s="123"/>
      <c r="H37" s="124"/>
      <c r="I37" s="1">
        <v>31</v>
      </c>
      <c r="J37" s="7"/>
      <c r="K37" s="7"/>
    </row>
    <row r="38" spans="1:11" ht="12">
      <c r="A38" s="122" t="s">
        <v>68</v>
      </c>
      <c r="B38" s="123"/>
      <c r="C38" s="123"/>
      <c r="D38" s="123"/>
      <c r="E38" s="123"/>
      <c r="F38" s="123"/>
      <c r="G38" s="123"/>
      <c r="H38" s="124"/>
      <c r="I38" s="1">
        <v>32</v>
      </c>
      <c r="J38" s="7"/>
      <c r="K38" s="7"/>
    </row>
    <row r="39" spans="1:11" ht="12">
      <c r="A39" s="122" t="s">
        <v>148</v>
      </c>
      <c r="B39" s="123"/>
      <c r="C39" s="123"/>
      <c r="D39" s="123"/>
      <c r="E39" s="123"/>
      <c r="F39" s="123"/>
      <c r="G39" s="123"/>
      <c r="H39" s="124"/>
      <c r="I39" s="1">
        <v>33</v>
      </c>
      <c r="J39" s="7"/>
      <c r="K39" s="7"/>
    </row>
    <row r="40" spans="1:11" ht="12">
      <c r="A40" s="125" t="s">
        <v>192</v>
      </c>
      <c r="B40" s="126"/>
      <c r="C40" s="126"/>
      <c r="D40" s="126"/>
      <c r="E40" s="126"/>
      <c r="F40" s="126"/>
      <c r="G40" s="126"/>
      <c r="H40" s="127"/>
      <c r="I40" s="1">
        <v>34</v>
      </c>
      <c r="J40" s="16">
        <f>J41+J49+J56+J64</f>
        <v>57892902</v>
      </c>
      <c r="K40" s="16">
        <f>K41+K49+K56+K64</f>
        <v>41663698</v>
      </c>
    </row>
    <row r="41" spans="1:11" ht="12">
      <c r="A41" s="122" t="s">
        <v>86</v>
      </c>
      <c r="B41" s="123"/>
      <c r="C41" s="123"/>
      <c r="D41" s="123"/>
      <c r="E41" s="123"/>
      <c r="F41" s="123"/>
      <c r="G41" s="123"/>
      <c r="H41" s="124"/>
      <c r="I41" s="1">
        <v>35</v>
      </c>
      <c r="J41" s="16">
        <f>SUM(J42:J48)</f>
        <v>4483693</v>
      </c>
      <c r="K41" s="16">
        <f>SUM(K42:K48)</f>
        <v>4798406</v>
      </c>
    </row>
    <row r="42" spans="1:11" ht="12">
      <c r="A42" s="122" t="s">
        <v>98</v>
      </c>
      <c r="B42" s="123"/>
      <c r="C42" s="123"/>
      <c r="D42" s="123"/>
      <c r="E42" s="123"/>
      <c r="F42" s="123"/>
      <c r="G42" s="123"/>
      <c r="H42" s="124"/>
      <c r="I42" s="1">
        <v>36</v>
      </c>
      <c r="J42" s="7">
        <v>4448423</v>
      </c>
      <c r="K42" s="7">
        <v>4774892</v>
      </c>
    </row>
    <row r="43" spans="1:11" ht="12">
      <c r="A43" s="122" t="s">
        <v>99</v>
      </c>
      <c r="B43" s="123"/>
      <c r="C43" s="123"/>
      <c r="D43" s="123"/>
      <c r="E43" s="123"/>
      <c r="F43" s="123"/>
      <c r="G43" s="123"/>
      <c r="H43" s="124"/>
      <c r="I43" s="1">
        <v>37</v>
      </c>
      <c r="J43" s="7"/>
      <c r="K43" s="7"/>
    </row>
    <row r="44" spans="1:11" ht="12">
      <c r="A44" s="122" t="s">
        <v>72</v>
      </c>
      <c r="B44" s="123"/>
      <c r="C44" s="123"/>
      <c r="D44" s="123"/>
      <c r="E44" s="123"/>
      <c r="F44" s="123"/>
      <c r="G44" s="123"/>
      <c r="H44" s="124"/>
      <c r="I44" s="1">
        <v>38</v>
      </c>
      <c r="J44" s="7"/>
      <c r="K44" s="7"/>
    </row>
    <row r="45" spans="1:11" ht="12">
      <c r="A45" s="122" t="s">
        <v>73</v>
      </c>
      <c r="B45" s="123"/>
      <c r="C45" s="123"/>
      <c r="D45" s="123"/>
      <c r="E45" s="123"/>
      <c r="F45" s="123"/>
      <c r="G45" s="123"/>
      <c r="H45" s="124"/>
      <c r="I45" s="1">
        <v>39</v>
      </c>
      <c r="J45" s="7">
        <v>35270</v>
      </c>
      <c r="K45" s="7">
        <v>23514</v>
      </c>
    </row>
    <row r="46" spans="1:11" ht="12">
      <c r="A46" s="122" t="s">
        <v>74</v>
      </c>
      <c r="B46" s="123"/>
      <c r="C46" s="123"/>
      <c r="D46" s="123"/>
      <c r="E46" s="123"/>
      <c r="F46" s="123"/>
      <c r="G46" s="123"/>
      <c r="H46" s="124"/>
      <c r="I46" s="1">
        <v>40</v>
      </c>
      <c r="J46" s="7"/>
      <c r="K46" s="7"/>
    </row>
    <row r="47" spans="1:11" ht="12">
      <c r="A47" s="122" t="s">
        <v>75</v>
      </c>
      <c r="B47" s="123"/>
      <c r="C47" s="123"/>
      <c r="D47" s="123"/>
      <c r="E47" s="123"/>
      <c r="F47" s="123"/>
      <c r="G47" s="123"/>
      <c r="H47" s="124"/>
      <c r="I47" s="1">
        <v>41</v>
      </c>
      <c r="J47" s="7">
        <f>70014905-70014905</f>
        <v>0</v>
      </c>
      <c r="K47" s="7">
        <v>0</v>
      </c>
    </row>
    <row r="48" spans="1:11" ht="12">
      <c r="A48" s="122" t="s">
        <v>76</v>
      </c>
      <c r="B48" s="123"/>
      <c r="C48" s="123"/>
      <c r="D48" s="123"/>
      <c r="E48" s="123"/>
      <c r="F48" s="123"/>
      <c r="G48" s="123"/>
      <c r="H48" s="124"/>
      <c r="I48" s="1">
        <v>42</v>
      </c>
      <c r="J48" s="7"/>
      <c r="K48" s="7"/>
    </row>
    <row r="49" spans="1:11" ht="12">
      <c r="A49" s="122" t="s">
        <v>87</v>
      </c>
      <c r="B49" s="123"/>
      <c r="C49" s="123"/>
      <c r="D49" s="123"/>
      <c r="E49" s="123"/>
      <c r="F49" s="123"/>
      <c r="G49" s="123"/>
      <c r="H49" s="124"/>
      <c r="I49" s="1">
        <v>43</v>
      </c>
      <c r="J49" s="16">
        <f>SUM(J50:J55)</f>
        <v>40364264</v>
      </c>
      <c r="K49" s="16">
        <f>SUM(K50:K55)</f>
        <v>29981143</v>
      </c>
    </row>
    <row r="50" spans="1:11" ht="12">
      <c r="A50" s="122" t="s">
        <v>159</v>
      </c>
      <c r="B50" s="123"/>
      <c r="C50" s="123"/>
      <c r="D50" s="123"/>
      <c r="E50" s="123"/>
      <c r="F50" s="123"/>
      <c r="G50" s="123"/>
      <c r="H50" s="124"/>
      <c r="I50" s="1">
        <v>44</v>
      </c>
      <c r="J50" s="7">
        <v>11001571</v>
      </c>
      <c r="K50" s="7">
        <f>4660202+1233499</f>
        <v>5893701</v>
      </c>
    </row>
    <row r="51" spans="1:11" ht="12">
      <c r="A51" s="122" t="s">
        <v>160</v>
      </c>
      <c r="B51" s="123"/>
      <c r="C51" s="123"/>
      <c r="D51" s="123"/>
      <c r="E51" s="123"/>
      <c r="F51" s="123"/>
      <c r="G51" s="123"/>
      <c r="H51" s="124"/>
      <c r="I51" s="1">
        <v>45</v>
      </c>
      <c r="J51" s="7">
        <v>28353678</v>
      </c>
      <c r="K51" s="7">
        <f>28339351-3000000-2000000-261873</f>
        <v>23077478</v>
      </c>
    </row>
    <row r="52" spans="1:11" ht="12">
      <c r="A52" s="122" t="s">
        <v>161</v>
      </c>
      <c r="B52" s="123"/>
      <c r="C52" s="123"/>
      <c r="D52" s="123"/>
      <c r="E52" s="123"/>
      <c r="F52" s="123"/>
      <c r="G52" s="123"/>
      <c r="H52" s="124"/>
      <c r="I52" s="1">
        <v>46</v>
      </c>
      <c r="J52" s="7">
        <f>119035</f>
        <v>119035</v>
      </c>
      <c r="K52" s="7"/>
    </row>
    <row r="53" spans="1:11" ht="12">
      <c r="A53" s="122" t="s">
        <v>162</v>
      </c>
      <c r="B53" s="123"/>
      <c r="C53" s="123"/>
      <c r="D53" s="123"/>
      <c r="E53" s="123"/>
      <c r="F53" s="123"/>
      <c r="G53" s="123"/>
      <c r="H53" s="124"/>
      <c r="I53" s="1">
        <v>47</v>
      </c>
      <c r="J53" s="7">
        <v>27220</v>
      </c>
      <c r="K53" s="7">
        <v>28610</v>
      </c>
    </row>
    <row r="54" spans="1:11" ht="12">
      <c r="A54" s="122" t="s">
        <v>5</v>
      </c>
      <c r="B54" s="123"/>
      <c r="C54" s="123"/>
      <c r="D54" s="123"/>
      <c r="E54" s="123"/>
      <c r="F54" s="123"/>
      <c r="G54" s="123"/>
      <c r="H54" s="124"/>
      <c r="I54" s="1">
        <v>48</v>
      </c>
      <c r="J54" s="7">
        <v>213689</v>
      </c>
      <c r="K54" s="7">
        <f>232999-128869</f>
        <v>104130</v>
      </c>
    </row>
    <row r="55" spans="1:11" ht="12">
      <c r="A55" s="122" t="s">
        <v>6</v>
      </c>
      <c r="B55" s="123"/>
      <c r="C55" s="123"/>
      <c r="D55" s="123"/>
      <c r="E55" s="123"/>
      <c r="F55" s="123"/>
      <c r="G55" s="123"/>
      <c r="H55" s="124"/>
      <c r="I55" s="1">
        <v>49</v>
      </c>
      <c r="J55" s="7">
        <v>649071</v>
      </c>
      <c r="K55" s="7">
        <f>877221+3</f>
        <v>877224</v>
      </c>
    </row>
    <row r="56" spans="1:11" ht="12">
      <c r="A56" s="122" t="s">
        <v>88</v>
      </c>
      <c r="B56" s="123"/>
      <c r="C56" s="123"/>
      <c r="D56" s="123"/>
      <c r="E56" s="123"/>
      <c r="F56" s="123"/>
      <c r="G56" s="123"/>
      <c r="H56" s="124"/>
      <c r="I56" s="1">
        <v>50</v>
      </c>
      <c r="J56" s="16">
        <f>SUM(J57:J63)</f>
        <v>8180260</v>
      </c>
      <c r="K56" s="16">
        <f>SUM(K57:K63)</f>
        <v>5664117</v>
      </c>
    </row>
    <row r="57" spans="1:11" ht="12">
      <c r="A57" s="122" t="s">
        <v>62</v>
      </c>
      <c r="B57" s="123"/>
      <c r="C57" s="123"/>
      <c r="D57" s="123"/>
      <c r="E57" s="123"/>
      <c r="F57" s="123"/>
      <c r="G57" s="123"/>
      <c r="H57" s="124"/>
      <c r="I57" s="1">
        <v>51</v>
      </c>
      <c r="J57" s="7"/>
      <c r="K57" s="7"/>
    </row>
    <row r="58" spans="1:11" ht="12">
      <c r="A58" s="122" t="s">
        <v>63</v>
      </c>
      <c r="B58" s="123"/>
      <c r="C58" s="123"/>
      <c r="D58" s="123"/>
      <c r="E58" s="123"/>
      <c r="F58" s="123"/>
      <c r="G58" s="123"/>
      <c r="H58" s="124"/>
      <c r="I58" s="1">
        <v>52</v>
      </c>
      <c r="J58" s="7">
        <f>7031640-J60</f>
        <v>3231640</v>
      </c>
      <c r="K58" s="7">
        <v>129505</v>
      </c>
    </row>
    <row r="59" spans="1:11" ht="12">
      <c r="A59" s="122" t="s">
        <v>194</v>
      </c>
      <c r="B59" s="123"/>
      <c r="C59" s="123"/>
      <c r="D59" s="123"/>
      <c r="E59" s="123"/>
      <c r="F59" s="123"/>
      <c r="G59" s="123"/>
      <c r="H59" s="124"/>
      <c r="I59" s="1">
        <v>53</v>
      </c>
      <c r="J59" s="7"/>
      <c r="K59" s="7"/>
    </row>
    <row r="60" spans="1:11" ht="12">
      <c r="A60" s="122" t="s">
        <v>69</v>
      </c>
      <c r="B60" s="123"/>
      <c r="C60" s="123"/>
      <c r="D60" s="123"/>
      <c r="E60" s="123"/>
      <c r="F60" s="123"/>
      <c r="G60" s="123"/>
      <c r="H60" s="124"/>
      <c r="I60" s="1">
        <v>54</v>
      </c>
      <c r="J60" s="7">
        <v>3800000</v>
      </c>
      <c r="K60" s="7">
        <v>4473000</v>
      </c>
    </row>
    <row r="61" spans="1:11" ht="12">
      <c r="A61" s="122" t="s">
        <v>70</v>
      </c>
      <c r="B61" s="123"/>
      <c r="C61" s="123"/>
      <c r="D61" s="123"/>
      <c r="E61" s="123"/>
      <c r="F61" s="123"/>
      <c r="G61" s="123"/>
      <c r="H61" s="124"/>
      <c r="I61" s="1">
        <v>55</v>
      </c>
      <c r="J61" s="7"/>
      <c r="K61" s="7"/>
    </row>
    <row r="62" spans="1:11" ht="12">
      <c r="A62" s="122" t="s">
        <v>71</v>
      </c>
      <c r="B62" s="123"/>
      <c r="C62" s="123"/>
      <c r="D62" s="123"/>
      <c r="E62" s="123"/>
      <c r="F62" s="123"/>
      <c r="G62" s="123"/>
      <c r="H62" s="124"/>
      <c r="I62" s="1">
        <v>56</v>
      </c>
      <c r="J62" s="7">
        <v>1148620</v>
      </c>
      <c r="K62" s="7">
        <f>5534612-K60</f>
        <v>1061612</v>
      </c>
    </row>
    <row r="63" spans="1:11" ht="12">
      <c r="A63" s="122" t="s">
        <v>35</v>
      </c>
      <c r="B63" s="123"/>
      <c r="C63" s="123"/>
      <c r="D63" s="123"/>
      <c r="E63" s="123"/>
      <c r="F63" s="123"/>
      <c r="G63" s="123"/>
      <c r="H63" s="124"/>
      <c r="I63" s="1">
        <v>57</v>
      </c>
      <c r="J63" s="7"/>
      <c r="K63" s="7"/>
    </row>
    <row r="64" spans="1:11" ht="12">
      <c r="A64" s="122" t="s">
        <v>166</v>
      </c>
      <c r="B64" s="123"/>
      <c r="C64" s="123"/>
      <c r="D64" s="123"/>
      <c r="E64" s="123"/>
      <c r="F64" s="123"/>
      <c r="G64" s="123"/>
      <c r="H64" s="124"/>
      <c r="I64" s="1">
        <v>58</v>
      </c>
      <c r="J64" s="7">
        <v>4864685</v>
      </c>
      <c r="K64" s="7">
        <v>1220032</v>
      </c>
    </row>
    <row r="65" spans="1:11" ht="12">
      <c r="A65" s="125" t="s">
        <v>42</v>
      </c>
      <c r="B65" s="126"/>
      <c r="C65" s="126"/>
      <c r="D65" s="126"/>
      <c r="E65" s="126"/>
      <c r="F65" s="126"/>
      <c r="G65" s="126"/>
      <c r="H65" s="127"/>
      <c r="I65" s="1">
        <v>59</v>
      </c>
      <c r="J65" s="7">
        <v>1077606</v>
      </c>
      <c r="K65" s="7">
        <v>288896</v>
      </c>
    </row>
    <row r="66" spans="1:11" ht="12">
      <c r="A66" s="125" t="s">
        <v>193</v>
      </c>
      <c r="B66" s="126"/>
      <c r="C66" s="126"/>
      <c r="D66" s="126"/>
      <c r="E66" s="126"/>
      <c r="F66" s="126"/>
      <c r="G66" s="126"/>
      <c r="H66" s="127"/>
      <c r="I66" s="1">
        <v>60</v>
      </c>
      <c r="J66" s="16">
        <f>J7+J8+J40+J65</f>
        <v>401114284</v>
      </c>
      <c r="K66" s="16">
        <f>K7+K8+K40+K65</f>
        <v>362250784</v>
      </c>
    </row>
    <row r="67" spans="1:11" ht="12">
      <c r="A67" s="137" t="s">
        <v>77</v>
      </c>
      <c r="B67" s="138"/>
      <c r="C67" s="138"/>
      <c r="D67" s="138"/>
      <c r="E67" s="138"/>
      <c r="F67" s="138"/>
      <c r="G67" s="138"/>
      <c r="H67" s="139"/>
      <c r="I67" s="4">
        <v>61</v>
      </c>
      <c r="J67" s="6"/>
      <c r="K67" s="6"/>
    </row>
    <row r="68" spans="1:11" ht="12">
      <c r="A68" s="114" t="s">
        <v>44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1"/>
    </row>
    <row r="69" spans="1:11" ht="12">
      <c r="A69" s="118" t="s">
        <v>154</v>
      </c>
      <c r="B69" s="119"/>
      <c r="C69" s="119"/>
      <c r="D69" s="119"/>
      <c r="E69" s="119"/>
      <c r="F69" s="119"/>
      <c r="G69" s="119"/>
      <c r="H69" s="136"/>
      <c r="I69" s="3">
        <v>62</v>
      </c>
      <c r="J69" s="15">
        <f>J70+J71+J72+J78+J79+J82+J85</f>
        <v>357453423</v>
      </c>
      <c r="K69" s="15">
        <f>K70+K71+K72+K78+K79+K82+K85</f>
        <v>302210551</v>
      </c>
    </row>
    <row r="70" spans="1:11" ht="12">
      <c r="A70" s="122" t="s">
        <v>112</v>
      </c>
      <c r="B70" s="123"/>
      <c r="C70" s="123"/>
      <c r="D70" s="123"/>
      <c r="E70" s="123"/>
      <c r="F70" s="123"/>
      <c r="G70" s="123"/>
      <c r="H70" s="124"/>
      <c r="I70" s="1">
        <v>63</v>
      </c>
      <c r="J70" s="9">
        <v>365478120</v>
      </c>
      <c r="K70" s="7">
        <v>365478120</v>
      </c>
    </row>
    <row r="71" spans="1:11" ht="12">
      <c r="A71" s="122" t="s">
        <v>113</v>
      </c>
      <c r="B71" s="123"/>
      <c r="C71" s="123"/>
      <c r="D71" s="123"/>
      <c r="E71" s="123"/>
      <c r="F71" s="123"/>
      <c r="G71" s="123"/>
      <c r="H71" s="124"/>
      <c r="I71" s="1">
        <v>64</v>
      </c>
      <c r="J71" s="7"/>
      <c r="K71" s="7"/>
    </row>
    <row r="72" spans="1:11" ht="12">
      <c r="A72" s="122" t="s">
        <v>114</v>
      </c>
      <c r="B72" s="123"/>
      <c r="C72" s="123"/>
      <c r="D72" s="123"/>
      <c r="E72" s="123"/>
      <c r="F72" s="123"/>
      <c r="G72" s="123"/>
      <c r="H72" s="124"/>
      <c r="I72" s="1">
        <v>65</v>
      </c>
      <c r="J72" s="16">
        <f>J73+J74-J75+J76+J77</f>
        <v>1407717</v>
      </c>
      <c r="K72" s="16">
        <f>K73+K74-K75+K76+K77</f>
        <v>1565300</v>
      </c>
    </row>
    <row r="73" spans="1:11" ht="12">
      <c r="A73" s="122" t="s">
        <v>115</v>
      </c>
      <c r="B73" s="123"/>
      <c r="C73" s="123"/>
      <c r="D73" s="123"/>
      <c r="E73" s="123"/>
      <c r="F73" s="123"/>
      <c r="G73" s="123"/>
      <c r="H73" s="124"/>
      <c r="I73" s="1">
        <v>66</v>
      </c>
      <c r="J73" s="7">
        <v>1344338</v>
      </c>
      <c r="K73" s="7">
        <v>1501921</v>
      </c>
    </row>
    <row r="74" spans="1:11" ht="12">
      <c r="A74" s="122" t="s">
        <v>116</v>
      </c>
      <c r="B74" s="123"/>
      <c r="C74" s="123"/>
      <c r="D74" s="123"/>
      <c r="E74" s="123"/>
      <c r="F74" s="123"/>
      <c r="G74" s="123"/>
      <c r="H74" s="124"/>
      <c r="I74" s="1">
        <v>67</v>
      </c>
      <c r="J74" s="7">
        <v>63379</v>
      </c>
      <c r="K74" s="7">
        <v>63379</v>
      </c>
    </row>
    <row r="75" spans="1:11" ht="12">
      <c r="A75" s="122" t="s">
        <v>104</v>
      </c>
      <c r="B75" s="123"/>
      <c r="C75" s="123"/>
      <c r="D75" s="123"/>
      <c r="E75" s="123"/>
      <c r="F75" s="123"/>
      <c r="G75" s="123"/>
      <c r="H75" s="124"/>
      <c r="I75" s="1">
        <v>68</v>
      </c>
      <c r="J75" s="7"/>
      <c r="K75" s="7"/>
    </row>
    <row r="76" spans="1:11" ht="12">
      <c r="A76" s="122" t="s">
        <v>105</v>
      </c>
      <c r="B76" s="123"/>
      <c r="C76" s="123"/>
      <c r="D76" s="123"/>
      <c r="E76" s="123"/>
      <c r="F76" s="123"/>
      <c r="G76" s="123"/>
      <c r="H76" s="124"/>
      <c r="I76" s="1">
        <v>69</v>
      </c>
      <c r="J76" s="7"/>
      <c r="K76" s="7"/>
    </row>
    <row r="77" spans="1:11" ht="12">
      <c r="A77" s="122" t="s">
        <v>106</v>
      </c>
      <c r="B77" s="123"/>
      <c r="C77" s="123"/>
      <c r="D77" s="123"/>
      <c r="E77" s="123"/>
      <c r="F77" s="123"/>
      <c r="G77" s="123"/>
      <c r="H77" s="124"/>
      <c r="I77" s="1">
        <v>70</v>
      </c>
      <c r="J77" s="7"/>
      <c r="K77" s="7"/>
    </row>
    <row r="78" spans="1:11" ht="12">
      <c r="A78" s="122" t="s">
        <v>107</v>
      </c>
      <c r="B78" s="123"/>
      <c r="C78" s="123"/>
      <c r="D78" s="123"/>
      <c r="E78" s="123"/>
      <c r="F78" s="123"/>
      <c r="G78" s="123"/>
      <c r="H78" s="124"/>
      <c r="I78" s="1">
        <v>71</v>
      </c>
      <c r="J78" s="7"/>
      <c r="K78" s="7"/>
    </row>
    <row r="79" spans="1:11" ht="12">
      <c r="A79" s="122" t="s">
        <v>190</v>
      </c>
      <c r="B79" s="123"/>
      <c r="C79" s="123"/>
      <c r="D79" s="123"/>
      <c r="E79" s="123"/>
      <c r="F79" s="123"/>
      <c r="G79" s="123"/>
      <c r="H79" s="124"/>
      <c r="I79" s="1">
        <v>72</v>
      </c>
      <c r="J79" s="16">
        <f>J80-J81</f>
        <v>-12584063</v>
      </c>
      <c r="K79" s="16">
        <f>K80-K81</f>
        <v>-9589996</v>
      </c>
    </row>
    <row r="80" spans="1:11" ht="12">
      <c r="A80" s="133" t="s">
        <v>132</v>
      </c>
      <c r="B80" s="134"/>
      <c r="C80" s="134"/>
      <c r="D80" s="134"/>
      <c r="E80" s="134"/>
      <c r="F80" s="134"/>
      <c r="G80" s="134"/>
      <c r="H80" s="135"/>
      <c r="I80" s="1">
        <v>73</v>
      </c>
      <c r="J80" s="7"/>
      <c r="K80" s="7">
        <f>2994067-2994067</f>
        <v>0</v>
      </c>
    </row>
    <row r="81" spans="1:11" ht="12">
      <c r="A81" s="133" t="s">
        <v>133</v>
      </c>
      <c r="B81" s="134"/>
      <c r="C81" s="134"/>
      <c r="D81" s="134"/>
      <c r="E81" s="134"/>
      <c r="F81" s="134"/>
      <c r="G81" s="134"/>
      <c r="H81" s="135"/>
      <c r="I81" s="1">
        <v>74</v>
      </c>
      <c r="J81" s="7">
        <v>12584063</v>
      </c>
      <c r="K81" s="7">
        <f>12584063-2994067</f>
        <v>9589996</v>
      </c>
    </row>
    <row r="82" spans="1:11" ht="12">
      <c r="A82" s="122" t="s">
        <v>191</v>
      </c>
      <c r="B82" s="123"/>
      <c r="C82" s="123"/>
      <c r="D82" s="123"/>
      <c r="E82" s="123"/>
      <c r="F82" s="123"/>
      <c r="G82" s="123"/>
      <c r="H82" s="124"/>
      <c r="I82" s="1">
        <v>75</v>
      </c>
      <c r="J82" s="16">
        <f>J83-J84</f>
        <v>3151649</v>
      </c>
      <c r="K82" s="14">
        <f>K83-K84</f>
        <v>-55242873</v>
      </c>
    </row>
    <row r="83" spans="1:11" ht="12">
      <c r="A83" s="133" t="s">
        <v>134</v>
      </c>
      <c r="B83" s="134"/>
      <c r="C83" s="134"/>
      <c r="D83" s="134"/>
      <c r="E83" s="134"/>
      <c r="F83" s="134"/>
      <c r="G83" s="134"/>
      <c r="H83" s="135"/>
      <c r="I83" s="1">
        <v>76</v>
      </c>
      <c r="J83" s="7">
        <f>3151649</f>
        <v>3151649</v>
      </c>
      <c r="K83" s="7"/>
    </row>
    <row r="84" spans="1:11" ht="12">
      <c r="A84" s="133" t="s">
        <v>135</v>
      </c>
      <c r="B84" s="134"/>
      <c r="C84" s="134"/>
      <c r="D84" s="134"/>
      <c r="E84" s="134"/>
      <c r="F84" s="134"/>
      <c r="G84" s="134"/>
      <c r="H84" s="135"/>
      <c r="I84" s="1">
        <v>77</v>
      </c>
      <c r="J84" s="7"/>
      <c r="K84" s="7">
        <f>'RDG '!L50</f>
        <v>55242873</v>
      </c>
    </row>
    <row r="85" spans="1:11" ht="12">
      <c r="A85" s="122" t="s">
        <v>136</v>
      </c>
      <c r="B85" s="123"/>
      <c r="C85" s="123"/>
      <c r="D85" s="123"/>
      <c r="E85" s="123"/>
      <c r="F85" s="123"/>
      <c r="G85" s="123"/>
      <c r="H85" s="124"/>
      <c r="I85" s="1">
        <v>78</v>
      </c>
      <c r="J85" s="7"/>
      <c r="K85" s="7"/>
    </row>
    <row r="86" spans="1:11" ht="12">
      <c r="A86" s="125" t="s">
        <v>12</v>
      </c>
      <c r="B86" s="126"/>
      <c r="C86" s="126"/>
      <c r="D86" s="126"/>
      <c r="E86" s="126"/>
      <c r="F86" s="126"/>
      <c r="G86" s="126"/>
      <c r="H86" s="127"/>
      <c r="I86" s="1">
        <v>79</v>
      </c>
      <c r="J86" s="16">
        <f>SUM(J87:J89)</f>
        <v>3887836</v>
      </c>
      <c r="K86" s="16">
        <f>SUM(K87:K89)</f>
        <v>27354612</v>
      </c>
    </row>
    <row r="87" spans="1:11" ht="12">
      <c r="A87" s="122" t="s">
        <v>100</v>
      </c>
      <c r="B87" s="123"/>
      <c r="C87" s="123"/>
      <c r="D87" s="123"/>
      <c r="E87" s="123"/>
      <c r="F87" s="123"/>
      <c r="G87" s="123"/>
      <c r="H87" s="124"/>
      <c r="I87" s="1">
        <v>80</v>
      </c>
      <c r="J87" s="7">
        <f>2210348+155000</f>
        <v>2365348</v>
      </c>
      <c r="K87" s="7">
        <f>170114+155000</f>
        <v>325114</v>
      </c>
    </row>
    <row r="88" spans="1:11" ht="12">
      <c r="A88" s="122" t="s">
        <v>101</v>
      </c>
      <c r="B88" s="123"/>
      <c r="C88" s="123"/>
      <c r="D88" s="123"/>
      <c r="E88" s="123"/>
      <c r="F88" s="123"/>
      <c r="G88" s="123"/>
      <c r="H88" s="124"/>
      <c r="I88" s="1">
        <v>81</v>
      </c>
      <c r="J88" s="7"/>
      <c r="K88" s="7"/>
    </row>
    <row r="89" spans="1:11" ht="12">
      <c r="A89" s="122" t="s">
        <v>102</v>
      </c>
      <c r="B89" s="123"/>
      <c r="C89" s="123"/>
      <c r="D89" s="123"/>
      <c r="E89" s="123"/>
      <c r="F89" s="123"/>
      <c r="G89" s="123"/>
      <c r="H89" s="124"/>
      <c r="I89" s="1">
        <v>82</v>
      </c>
      <c r="J89" s="7">
        <v>1522488</v>
      </c>
      <c r="K89" s="7">
        <f>729498+1000000+15300000+10000000</f>
        <v>27029498</v>
      </c>
    </row>
    <row r="90" spans="1:11" ht="12">
      <c r="A90" s="125" t="s">
        <v>13</v>
      </c>
      <c r="B90" s="126"/>
      <c r="C90" s="126"/>
      <c r="D90" s="126"/>
      <c r="E90" s="126"/>
      <c r="F90" s="126"/>
      <c r="G90" s="126"/>
      <c r="H90" s="127"/>
      <c r="I90" s="1">
        <v>83</v>
      </c>
      <c r="J90" s="16">
        <f>SUM(J91:J99)</f>
        <v>17183042</v>
      </c>
      <c r="K90" s="16">
        <f>SUM(K91:K99)</f>
        <v>12273602</v>
      </c>
    </row>
    <row r="91" spans="1:11" ht="12">
      <c r="A91" s="122" t="s">
        <v>103</v>
      </c>
      <c r="B91" s="123"/>
      <c r="C91" s="123"/>
      <c r="D91" s="123"/>
      <c r="E91" s="123"/>
      <c r="F91" s="123"/>
      <c r="G91" s="123"/>
      <c r="H91" s="124"/>
      <c r="I91" s="1">
        <v>84</v>
      </c>
      <c r="J91" s="7"/>
      <c r="K91" s="7"/>
    </row>
    <row r="92" spans="1:11" ht="12">
      <c r="A92" s="122" t="s">
        <v>195</v>
      </c>
      <c r="B92" s="123"/>
      <c r="C92" s="123"/>
      <c r="D92" s="123"/>
      <c r="E92" s="123"/>
      <c r="F92" s="123"/>
      <c r="G92" s="123"/>
      <c r="H92" s="124"/>
      <c r="I92" s="1">
        <v>85</v>
      </c>
      <c r="J92" s="7"/>
      <c r="K92" s="7"/>
    </row>
    <row r="93" spans="1:11" ht="12">
      <c r="A93" s="122" t="s">
        <v>0</v>
      </c>
      <c r="B93" s="123"/>
      <c r="C93" s="123"/>
      <c r="D93" s="123"/>
      <c r="E93" s="123"/>
      <c r="F93" s="123"/>
      <c r="G93" s="123"/>
      <c r="H93" s="124"/>
      <c r="I93" s="1">
        <v>86</v>
      </c>
      <c r="J93" s="7">
        <v>17183042</v>
      </c>
      <c r="K93" s="7">
        <f>17183042-2454720-2454720</f>
        <v>12273602</v>
      </c>
    </row>
    <row r="94" spans="1:11" ht="12">
      <c r="A94" s="122" t="s">
        <v>196</v>
      </c>
      <c r="B94" s="123"/>
      <c r="C94" s="123"/>
      <c r="D94" s="123"/>
      <c r="E94" s="123"/>
      <c r="F94" s="123"/>
      <c r="G94" s="123"/>
      <c r="H94" s="124"/>
      <c r="I94" s="1">
        <v>87</v>
      </c>
      <c r="J94" s="7"/>
      <c r="K94" s="7"/>
    </row>
    <row r="95" spans="1:11" ht="12">
      <c r="A95" s="122" t="s">
        <v>197</v>
      </c>
      <c r="B95" s="123"/>
      <c r="C95" s="123"/>
      <c r="D95" s="123"/>
      <c r="E95" s="123"/>
      <c r="F95" s="123"/>
      <c r="G95" s="123"/>
      <c r="H95" s="124"/>
      <c r="I95" s="1">
        <v>88</v>
      </c>
      <c r="J95" s="7"/>
      <c r="K95" s="7"/>
    </row>
    <row r="96" spans="1:11" ht="12">
      <c r="A96" s="122" t="s">
        <v>198</v>
      </c>
      <c r="B96" s="123"/>
      <c r="C96" s="123"/>
      <c r="D96" s="123"/>
      <c r="E96" s="123"/>
      <c r="F96" s="123"/>
      <c r="G96" s="123"/>
      <c r="H96" s="124"/>
      <c r="I96" s="1">
        <v>89</v>
      </c>
      <c r="J96" s="7"/>
      <c r="K96" s="7"/>
    </row>
    <row r="97" spans="1:11" ht="12">
      <c r="A97" s="122" t="s">
        <v>80</v>
      </c>
      <c r="B97" s="123"/>
      <c r="C97" s="123"/>
      <c r="D97" s="123"/>
      <c r="E97" s="123"/>
      <c r="F97" s="123"/>
      <c r="G97" s="123"/>
      <c r="H97" s="124"/>
      <c r="I97" s="1">
        <v>90</v>
      </c>
      <c r="J97" s="7"/>
      <c r="K97" s="7"/>
    </row>
    <row r="98" spans="1:11" ht="12">
      <c r="A98" s="122" t="s">
        <v>78</v>
      </c>
      <c r="B98" s="123"/>
      <c r="C98" s="123"/>
      <c r="D98" s="123"/>
      <c r="E98" s="123"/>
      <c r="F98" s="123"/>
      <c r="G98" s="123"/>
      <c r="H98" s="124"/>
      <c r="I98" s="1">
        <v>91</v>
      </c>
      <c r="J98" s="7"/>
      <c r="K98" s="7"/>
    </row>
    <row r="99" spans="1:11" ht="12">
      <c r="A99" s="122" t="s">
        <v>79</v>
      </c>
      <c r="B99" s="123"/>
      <c r="C99" s="123"/>
      <c r="D99" s="123"/>
      <c r="E99" s="123"/>
      <c r="F99" s="123"/>
      <c r="G99" s="123"/>
      <c r="H99" s="124"/>
      <c r="I99" s="1">
        <v>92</v>
      </c>
      <c r="J99" s="7"/>
      <c r="K99" s="7"/>
    </row>
    <row r="100" spans="1:11" ht="12">
      <c r="A100" s="125" t="s">
        <v>14</v>
      </c>
      <c r="B100" s="126"/>
      <c r="C100" s="126"/>
      <c r="D100" s="126"/>
      <c r="E100" s="126"/>
      <c r="F100" s="126"/>
      <c r="G100" s="126"/>
      <c r="H100" s="127"/>
      <c r="I100" s="1">
        <v>93</v>
      </c>
      <c r="J100" s="14">
        <f>SUM(J101:J112)</f>
        <v>22278920</v>
      </c>
      <c r="K100" s="14">
        <f>SUM(K101:K112)</f>
        <v>17498693</v>
      </c>
    </row>
    <row r="101" spans="1:11" ht="12">
      <c r="A101" s="122" t="s">
        <v>103</v>
      </c>
      <c r="B101" s="123"/>
      <c r="C101" s="123"/>
      <c r="D101" s="123"/>
      <c r="E101" s="123"/>
      <c r="F101" s="123"/>
      <c r="G101" s="123"/>
      <c r="H101" s="124"/>
      <c r="I101" s="1">
        <v>94</v>
      </c>
      <c r="J101" s="7">
        <v>4319773</v>
      </c>
      <c r="K101" s="7">
        <v>1617151</v>
      </c>
    </row>
    <row r="102" spans="1:11" ht="12">
      <c r="A102" s="122" t="s">
        <v>195</v>
      </c>
      <c r="B102" s="123"/>
      <c r="C102" s="123"/>
      <c r="D102" s="123"/>
      <c r="E102" s="123"/>
      <c r="F102" s="123"/>
      <c r="G102" s="123"/>
      <c r="H102" s="124"/>
      <c r="I102" s="1">
        <v>95</v>
      </c>
      <c r="J102" s="7"/>
      <c r="K102" s="7"/>
    </row>
    <row r="103" spans="1:11" ht="12">
      <c r="A103" s="122" t="s">
        <v>0</v>
      </c>
      <c r="B103" s="123"/>
      <c r="C103" s="123"/>
      <c r="D103" s="123"/>
      <c r="E103" s="123"/>
      <c r="F103" s="123"/>
      <c r="G103" s="123"/>
      <c r="H103" s="124"/>
      <c r="I103" s="1">
        <v>96</v>
      </c>
      <c r="J103" s="7">
        <v>5217649</v>
      </c>
      <c r="K103" s="7">
        <f>2454720+2454720+186236</f>
        <v>5095676</v>
      </c>
    </row>
    <row r="104" spans="1:11" ht="12">
      <c r="A104" s="122" t="s">
        <v>196</v>
      </c>
      <c r="B104" s="123"/>
      <c r="C104" s="123"/>
      <c r="D104" s="123"/>
      <c r="E104" s="123"/>
      <c r="F104" s="123"/>
      <c r="G104" s="123"/>
      <c r="H104" s="124"/>
      <c r="I104" s="1">
        <v>97</v>
      </c>
      <c r="J104" s="7">
        <v>987718</v>
      </c>
      <c r="K104" s="7">
        <v>169495</v>
      </c>
    </row>
    <row r="105" spans="1:11" ht="12">
      <c r="A105" s="122" t="s">
        <v>197</v>
      </c>
      <c r="B105" s="123"/>
      <c r="C105" s="123"/>
      <c r="D105" s="123"/>
      <c r="E105" s="123"/>
      <c r="F105" s="123"/>
      <c r="G105" s="123"/>
      <c r="H105" s="124"/>
      <c r="I105" s="1">
        <v>98</v>
      </c>
      <c r="J105" s="7">
        <v>6592543</v>
      </c>
      <c r="K105" s="7">
        <f>6971584+20</f>
        <v>6971604</v>
      </c>
    </row>
    <row r="106" spans="1:11" ht="12">
      <c r="A106" s="122" t="s">
        <v>198</v>
      </c>
      <c r="B106" s="123"/>
      <c r="C106" s="123"/>
      <c r="D106" s="123"/>
      <c r="E106" s="123"/>
      <c r="F106" s="123"/>
      <c r="G106" s="123"/>
      <c r="H106" s="124"/>
      <c r="I106" s="1">
        <v>99</v>
      </c>
      <c r="J106" s="7"/>
      <c r="K106" s="7"/>
    </row>
    <row r="107" spans="1:11" ht="12">
      <c r="A107" s="122" t="s">
        <v>80</v>
      </c>
      <c r="B107" s="123"/>
      <c r="C107" s="123"/>
      <c r="D107" s="123"/>
      <c r="E107" s="123"/>
      <c r="F107" s="123"/>
      <c r="G107" s="123"/>
      <c r="H107" s="124"/>
      <c r="I107" s="1">
        <v>100</v>
      </c>
      <c r="J107" s="7"/>
      <c r="K107" s="7"/>
    </row>
    <row r="108" spans="1:11" ht="12">
      <c r="A108" s="122" t="s">
        <v>81</v>
      </c>
      <c r="B108" s="123"/>
      <c r="C108" s="123"/>
      <c r="D108" s="123"/>
      <c r="E108" s="123"/>
      <c r="F108" s="123"/>
      <c r="G108" s="123"/>
      <c r="H108" s="124"/>
      <c r="I108" s="1">
        <v>101</v>
      </c>
      <c r="J108" s="7">
        <v>2471799</v>
      </c>
      <c r="K108" s="7">
        <v>2076517</v>
      </c>
    </row>
    <row r="109" spans="1:11" ht="12">
      <c r="A109" s="122" t="s">
        <v>82</v>
      </c>
      <c r="B109" s="123"/>
      <c r="C109" s="123"/>
      <c r="D109" s="123"/>
      <c r="E109" s="123"/>
      <c r="F109" s="123"/>
      <c r="G109" s="123"/>
      <c r="H109" s="124"/>
      <c r="I109" s="1">
        <v>102</v>
      </c>
      <c r="J109" s="7">
        <v>2611286</v>
      </c>
      <c r="K109" s="7">
        <v>1539020</v>
      </c>
    </row>
    <row r="110" spans="1:11" ht="12">
      <c r="A110" s="122" t="s">
        <v>85</v>
      </c>
      <c r="B110" s="123"/>
      <c r="C110" s="123"/>
      <c r="D110" s="123"/>
      <c r="E110" s="123"/>
      <c r="F110" s="123"/>
      <c r="G110" s="123"/>
      <c r="H110" s="124"/>
      <c r="I110" s="1">
        <v>103</v>
      </c>
      <c r="J110" s="7"/>
      <c r="K110" s="7"/>
    </row>
    <row r="111" spans="1:11" ht="12">
      <c r="A111" s="122" t="s">
        <v>83</v>
      </c>
      <c r="B111" s="123"/>
      <c r="C111" s="123"/>
      <c r="D111" s="123"/>
      <c r="E111" s="123"/>
      <c r="F111" s="123"/>
      <c r="G111" s="123"/>
      <c r="H111" s="124"/>
      <c r="I111" s="1">
        <v>104</v>
      </c>
      <c r="J111" s="7"/>
      <c r="K111" s="7"/>
    </row>
    <row r="112" spans="1:11" ht="12">
      <c r="A112" s="122" t="s">
        <v>84</v>
      </c>
      <c r="B112" s="123"/>
      <c r="C112" s="123"/>
      <c r="D112" s="123"/>
      <c r="E112" s="123"/>
      <c r="F112" s="123"/>
      <c r="G112" s="123"/>
      <c r="H112" s="124"/>
      <c r="I112" s="1">
        <v>105</v>
      </c>
      <c r="J112" s="7">
        <v>78152</v>
      </c>
      <c r="K112" s="7">
        <f>71250-42020</f>
        <v>29230</v>
      </c>
    </row>
    <row r="113" spans="1:11" ht="12">
      <c r="A113" s="125" t="s">
        <v>1</v>
      </c>
      <c r="B113" s="126"/>
      <c r="C113" s="126"/>
      <c r="D113" s="126"/>
      <c r="E113" s="126"/>
      <c r="F113" s="126"/>
      <c r="G113" s="126"/>
      <c r="H113" s="127"/>
      <c r="I113" s="1">
        <v>106</v>
      </c>
      <c r="J113" s="7">
        <v>311063</v>
      </c>
      <c r="K113" s="7">
        <v>2913326</v>
      </c>
    </row>
    <row r="114" spans="1:11" ht="12">
      <c r="A114" s="125" t="s">
        <v>15</v>
      </c>
      <c r="B114" s="126"/>
      <c r="C114" s="126"/>
      <c r="D114" s="126"/>
      <c r="E114" s="126"/>
      <c r="F114" s="126"/>
      <c r="G114" s="126"/>
      <c r="H114" s="127"/>
      <c r="I114" s="1">
        <v>107</v>
      </c>
      <c r="J114" s="16">
        <f>J69+J86+J90+J100+J113</f>
        <v>401114284</v>
      </c>
      <c r="K114" s="16">
        <f>K69+K86+K90+K100+K113</f>
        <v>362250784</v>
      </c>
    </row>
    <row r="115" spans="1:11" ht="12">
      <c r="A115" s="111" t="s">
        <v>43</v>
      </c>
      <c r="B115" s="112"/>
      <c r="C115" s="112"/>
      <c r="D115" s="112"/>
      <c r="E115" s="112"/>
      <c r="F115" s="112"/>
      <c r="G115" s="112"/>
      <c r="H115" s="113"/>
      <c r="I115" s="2">
        <v>108</v>
      </c>
      <c r="J115" s="6"/>
      <c r="K115" s="6"/>
    </row>
    <row r="116" spans="1:11" ht="12">
      <c r="A116" s="114" t="s">
        <v>287</v>
      </c>
      <c r="B116" s="115"/>
      <c r="C116" s="115"/>
      <c r="D116" s="115"/>
      <c r="E116" s="115"/>
      <c r="F116" s="115"/>
      <c r="G116" s="115"/>
      <c r="H116" s="115"/>
      <c r="I116" s="116"/>
      <c r="J116" s="116"/>
      <c r="K116" s="117"/>
    </row>
    <row r="117" spans="1:11" ht="12">
      <c r="A117" s="118" t="s">
        <v>149</v>
      </c>
      <c r="B117" s="119"/>
      <c r="C117" s="119"/>
      <c r="D117" s="119"/>
      <c r="E117" s="119"/>
      <c r="F117" s="119"/>
      <c r="G117" s="119"/>
      <c r="H117" s="119"/>
      <c r="I117" s="120"/>
      <c r="J117" s="120"/>
      <c r="K117" s="121"/>
    </row>
    <row r="118" spans="1:11" ht="12">
      <c r="A118" s="122" t="s">
        <v>3</v>
      </c>
      <c r="B118" s="123"/>
      <c r="C118" s="123"/>
      <c r="D118" s="123"/>
      <c r="E118" s="123"/>
      <c r="F118" s="123"/>
      <c r="G118" s="123"/>
      <c r="H118" s="124"/>
      <c r="I118" s="1">
        <v>109</v>
      </c>
      <c r="J118" s="7"/>
      <c r="K118" s="7"/>
    </row>
    <row r="119" spans="1:11" ht="12">
      <c r="A119" s="128" t="s">
        <v>4</v>
      </c>
      <c r="B119" s="129"/>
      <c r="C119" s="129"/>
      <c r="D119" s="129"/>
      <c r="E119" s="129"/>
      <c r="F119" s="129"/>
      <c r="G119" s="129"/>
      <c r="H119" s="130"/>
      <c r="I119" s="4">
        <v>110</v>
      </c>
      <c r="J119" s="6"/>
      <c r="K119" s="6"/>
    </row>
    <row r="120" spans="1:11" ht="12">
      <c r="A120" s="131" t="s">
        <v>259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</row>
    <row r="121" spans="1:11" ht="12" hidden="1">
      <c r="A121" s="109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9:11" ht="12" hidden="1">
      <c r="I122" s="18" t="s">
        <v>292</v>
      </c>
      <c r="J122" s="19">
        <v>413698347</v>
      </c>
      <c r="K122" s="19">
        <v>411334543</v>
      </c>
    </row>
    <row r="123" spans="9:11" ht="12" hidden="1">
      <c r="I123" s="18"/>
      <c r="J123" s="19">
        <f>J122-J114</f>
        <v>12584063</v>
      </c>
      <c r="K123" s="19">
        <f>K122-K114</f>
        <v>49083759</v>
      </c>
    </row>
    <row r="124" spans="9:11" ht="12" hidden="1">
      <c r="I124" s="18"/>
      <c r="J124" s="19">
        <f>J114-J66</f>
        <v>0</v>
      </c>
      <c r="K124" s="19">
        <f>K114-K66</f>
        <v>0</v>
      </c>
    </row>
    <row r="126" spans="10:11" ht="12">
      <c r="J126" s="33"/>
      <c r="K126" s="33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9:K84 J86:K115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55"/>
  <sheetViews>
    <sheetView view="pageBreakPreview" zoomScaleSheetLayoutView="100" workbookViewId="0" topLeftCell="A22">
      <selection activeCell="Q31" sqref="Q31"/>
    </sheetView>
  </sheetViews>
  <sheetFormatPr defaultColWidth="9.140625" defaultRowHeight="12.75"/>
  <cols>
    <col min="1" max="6" width="9.140625" style="20" customWidth="1"/>
    <col min="7" max="7" width="8.140625" style="20" customWidth="1"/>
    <col min="8" max="8" width="9.140625" style="20" hidden="1" customWidth="1"/>
    <col min="9" max="9" width="7.7109375" style="20" customWidth="1"/>
    <col min="10" max="10" width="9.28125" style="20" customWidth="1"/>
    <col min="11" max="11" width="10.8515625" style="20" customWidth="1"/>
    <col min="12" max="12" width="10.421875" style="20" bestFit="1" customWidth="1"/>
    <col min="13" max="13" width="9.421875" style="20" bestFit="1" customWidth="1"/>
    <col min="14" max="16384" width="9.140625" style="20" customWidth="1"/>
  </cols>
  <sheetData>
    <row r="1" spans="1:12" ht="12" customHeight="1">
      <c r="A1" s="160" t="s">
        <v>130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2" customHeight="1">
      <c r="A2" s="161" t="s">
        <v>291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">
      <c r="A3" s="21"/>
      <c r="B3" s="22"/>
      <c r="C3" s="22"/>
      <c r="D3" s="22"/>
      <c r="E3" s="22"/>
      <c r="F3" s="22"/>
      <c r="G3" s="22"/>
      <c r="H3" s="22"/>
      <c r="I3" s="22"/>
      <c r="J3" s="22"/>
      <c r="K3" s="23"/>
      <c r="L3" s="24"/>
    </row>
    <row r="4" spans="1:12" ht="12">
      <c r="A4" s="157" t="s">
        <v>294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9"/>
    </row>
    <row r="5" spans="1:12" ht="24.75" thickBot="1">
      <c r="A5" s="155" t="s">
        <v>45</v>
      </c>
      <c r="B5" s="155"/>
      <c r="C5" s="155"/>
      <c r="D5" s="155"/>
      <c r="E5" s="155"/>
      <c r="F5" s="155"/>
      <c r="G5" s="155"/>
      <c r="H5" s="155"/>
      <c r="I5" s="25" t="s">
        <v>286</v>
      </c>
      <c r="J5" s="26" t="s">
        <v>295</v>
      </c>
      <c r="K5" s="25" t="s">
        <v>119</v>
      </c>
      <c r="L5" s="25" t="s">
        <v>120</v>
      </c>
    </row>
    <row r="6" spans="1:12" ht="12">
      <c r="A6" s="156">
        <v>1</v>
      </c>
      <c r="B6" s="156"/>
      <c r="C6" s="156"/>
      <c r="D6" s="156"/>
      <c r="E6" s="156"/>
      <c r="F6" s="156"/>
      <c r="G6" s="156"/>
      <c r="H6" s="156"/>
      <c r="I6" s="27">
        <v>2</v>
      </c>
      <c r="J6" s="28">
        <v>3</v>
      </c>
      <c r="K6" s="29" t="s">
        <v>234</v>
      </c>
      <c r="L6" s="29" t="s">
        <v>296</v>
      </c>
    </row>
    <row r="7" spans="1:12" ht="12">
      <c r="A7" s="151" t="s">
        <v>124</v>
      </c>
      <c r="B7" s="152"/>
      <c r="C7" s="152"/>
      <c r="D7" s="152"/>
      <c r="E7" s="152"/>
      <c r="F7" s="152"/>
      <c r="G7" s="152"/>
      <c r="H7" s="152"/>
      <c r="I7" s="153"/>
      <c r="J7" s="153"/>
      <c r="K7" s="153"/>
      <c r="L7" s="154"/>
    </row>
    <row r="8" spans="1:12" ht="12">
      <c r="A8" s="122" t="s">
        <v>29</v>
      </c>
      <c r="B8" s="123"/>
      <c r="C8" s="123"/>
      <c r="D8" s="123"/>
      <c r="E8" s="123"/>
      <c r="F8" s="123"/>
      <c r="G8" s="123"/>
      <c r="H8" s="123"/>
      <c r="I8" s="1">
        <v>1</v>
      </c>
      <c r="J8" s="30"/>
      <c r="K8" s="7">
        <v>4003344</v>
      </c>
      <c r="L8" s="7">
        <f>'Bilanca '!K82</f>
        <v>-55242873</v>
      </c>
    </row>
    <row r="9" spans="1:12" ht="12">
      <c r="A9" s="122" t="s">
        <v>30</v>
      </c>
      <c r="B9" s="123"/>
      <c r="C9" s="123"/>
      <c r="D9" s="123"/>
      <c r="E9" s="123"/>
      <c r="F9" s="123"/>
      <c r="G9" s="123"/>
      <c r="H9" s="123"/>
      <c r="I9" s="1">
        <v>2</v>
      </c>
      <c r="J9" s="30"/>
      <c r="K9" s="7">
        <v>6206517</v>
      </c>
      <c r="L9" s="7">
        <f>'RDG '!L20</f>
        <v>9217384</v>
      </c>
    </row>
    <row r="10" spans="1:13" ht="12">
      <c r="A10" s="122" t="s">
        <v>31</v>
      </c>
      <c r="B10" s="123"/>
      <c r="C10" s="123"/>
      <c r="D10" s="123"/>
      <c r="E10" s="123"/>
      <c r="F10" s="123"/>
      <c r="G10" s="123"/>
      <c r="H10" s="123"/>
      <c r="I10" s="1">
        <v>3</v>
      </c>
      <c r="J10" s="30"/>
      <c r="K10" s="7"/>
      <c r="L10" s="7"/>
      <c r="M10" s="31"/>
    </row>
    <row r="11" spans="1:13" ht="12">
      <c r="A11" s="122" t="s">
        <v>32</v>
      </c>
      <c r="B11" s="123"/>
      <c r="C11" s="123"/>
      <c r="D11" s="123"/>
      <c r="E11" s="123"/>
      <c r="F11" s="123"/>
      <c r="G11" s="123"/>
      <c r="H11" s="123"/>
      <c r="I11" s="1">
        <v>4</v>
      </c>
      <c r="J11" s="30"/>
      <c r="K11" s="7">
        <v>18851482</v>
      </c>
      <c r="L11" s="7">
        <f>10121248+38375897-28311991+8035000</f>
        <v>28220154</v>
      </c>
      <c r="M11" s="31"/>
    </row>
    <row r="12" spans="1:13" ht="12">
      <c r="A12" s="122" t="s">
        <v>33</v>
      </c>
      <c r="B12" s="123"/>
      <c r="C12" s="123"/>
      <c r="D12" s="123"/>
      <c r="E12" s="123"/>
      <c r="F12" s="123"/>
      <c r="G12" s="123"/>
      <c r="H12" s="123"/>
      <c r="I12" s="1">
        <v>5</v>
      </c>
      <c r="J12" s="30"/>
      <c r="K12" s="7">
        <v>8377056</v>
      </c>
      <c r="L12" s="7"/>
      <c r="M12" s="31"/>
    </row>
    <row r="13" spans="1:13" ht="12">
      <c r="A13" s="122" t="s">
        <v>37</v>
      </c>
      <c r="B13" s="123"/>
      <c r="C13" s="123"/>
      <c r="D13" s="123"/>
      <c r="E13" s="123"/>
      <c r="F13" s="123"/>
      <c r="G13" s="123"/>
      <c r="H13" s="123"/>
      <c r="I13" s="1">
        <v>6</v>
      </c>
      <c r="J13" s="30"/>
      <c r="K13" s="7">
        <v>195194</v>
      </c>
      <c r="L13" s="7">
        <f>778710+23466766+2602263+10011</f>
        <v>26857750</v>
      </c>
      <c r="M13" s="31"/>
    </row>
    <row r="14" spans="1:12" ht="12">
      <c r="A14" s="125" t="s">
        <v>125</v>
      </c>
      <c r="B14" s="126"/>
      <c r="C14" s="126"/>
      <c r="D14" s="126"/>
      <c r="E14" s="126"/>
      <c r="F14" s="126"/>
      <c r="G14" s="126"/>
      <c r="H14" s="126"/>
      <c r="I14" s="1">
        <v>7</v>
      </c>
      <c r="J14" s="30"/>
      <c r="K14" s="16">
        <f>SUM(K8:K13)</f>
        <v>37633593</v>
      </c>
      <c r="L14" s="16">
        <f>SUM(L8:L13)</f>
        <v>9052415</v>
      </c>
    </row>
    <row r="15" spans="1:12" ht="12">
      <c r="A15" s="122" t="s">
        <v>38</v>
      </c>
      <c r="B15" s="123"/>
      <c r="C15" s="123"/>
      <c r="D15" s="123"/>
      <c r="E15" s="123"/>
      <c r="F15" s="123"/>
      <c r="G15" s="123"/>
      <c r="H15" s="123"/>
      <c r="I15" s="1">
        <v>8</v>
      </c>
      <c r="J15" s="30"/>
      <c r="K15" s="7">
        <v>3882865</v>
      </c>
      <c r="L15" s="7">
        <v>4780227</v>
      </c>
    </row>
    <row r="16" spans="1:12" ht="12">
      <c r="A16" s="122" t="s">
        <v>39</v>
      </c>
      <c r="B16" s="123"/>
      <c r="C16" s="123"/>
      <c r="D16" s="123"/>
      <c r="E16" s="123"/>
      <c r="F16" s="123"/>
      <c r="G16" s="123"/>
      <c r="H16" s="123"/>
      <c r="I16" s="1">
        <v>9</v>
      </c>
      <c r="J16" s="30"/>
      <c r="K16" s="7"/>
      <c r="L16" s="7">
        <f>28311991-28311991</f>
        <v>0</v>
      </c>
    </row>
    <row r="17" spans="1:12" ht="12">
      <c r="A17" s="122" t="s">
        <v>40</v>
      </c>
      <c r="B17" s="123"/>
      <c r="C17" s="123"/>
      <c r="D17" s="123"/>
      <c r="E17" s="123"/>
      <c r="F17" s="123"/>
      <c r="G17" s="123"/>
      <c r="H17" s="123"/>
      <c r="I17" s="1">
        <v>10</v>
      </c>
      <c r="J17" s="30"/>
      <c r="K17" s="7"/>
      <c r="L17" s="7">
        <v>314713</v>
      </c>
    </row>
    <row r="18" spans="1:12" ht="12">
      <c r="A18" s="122" t="s">
        <v>41</v>
      </c>
      <c r="B18" s="123"/>
      <c r="C18" s="123"/>
      <c r="D18" s="123"/>
      <c r="E18" s="123"/>
      <c r="F18" s="123"/>
      <c r="G18" s="123"/>
      <c r="H18" s="123"/>
      <c r="I18" s="1">
        <v>11</v>
      </c>
      <c r="J18" s="30"/>
      <c r="K18" s="7">
        <v>2108425</v>
      </c>
      <c r="L18" s="7"/>
    </row>
    <row r="19" spans="1:12" ht="12">
      <c r="A19" s="125" t="s">
        <v>126</v>
      </c>
      <c r="B19" s="126"/>
      <c r="C19" s="126"/>
      <c r="D19" s="126"/>
      <c r="E19" s="126"/>
      <c r="F19" s="126"/>
      <c r="G19" s="126"/>
      <c r="H19" s="126"/>
      <c r="I19" s="1">
        <v>12</v>
      </c>
      <c r="J19" s="30"/>
      <c r="K19" s="16">
        <f>SUM(K15:K18)</f>
        <v>5991290</v>
      </c>
      <c r="L19" s="16">
        <f>SUM(L15:L18)</f>
        <v>5094940</v>
      </c>
    </row>
    <row r="20" spans="1:12" ht="27" customHeight="1">
      <c r="A20" s="125" t="s">
        <v>25</v>
      </c>
      <c r="B20" s="126"/>
      <c r="C20" s="126"/>
      <c r="D20" s="126"/>
      <c r="E20" s="126"/>
      <c r="F20" s="126"/>
      <c r="G20" s="126"/>
      <c r="H20" s="126"/>
      <c r="I20" s="1">
        <v>13</v>
      </c>
      <c r="J20" s="30"/>
      <c r="K20" s="16">
        <f>IF(K14&gt;K19,K14-K19,0)</f>
        <v>31642303</v>
      </c>
      <c r="L20" s="16">
        <f>IF(L14&gt;L19,L14-L19,0)</f>
        <v>3957475</v>
      </c>
    </row>
    <row r="21" spans="1:12" ht="28.5" customHeight="1">
      <c r="A21" s="125" t="s">
        <v>26</v>
      </c>
      <c r="B21" s="126"/>
      <c r="C21" s="126"/>
      <c r="D21" s="126"/>
      <c r="E21" s="126"/>
      <c r="F21" s="126"/>
      <c r="G21" s="126"/>
      <c r="H21" s="126"/>
      <c r="I21" s="1">
        <v>14</v>
      </c>
      <c r="J21" s="30"/>
      <c r="K21" s="16">
        <f>IF(K19&gt;K14,K19-K14,0)</f>
        <v>0</v>
      </c>
      <c r="L21" s="16">
        <f>IF(L19&gt;L14,L19-L14,0)</f>
        <v>0</v>
      </c>
    </row>
    <row r="22" spans="1:12" ht="12">
      <c r="A22" s="151" t="s">
        <v>127</v>
      </c>
      <c r="B22" s="152"/>
      <c r="C22" s="152"/>
      <c r="D22" s="152"/>
      <c r="E22" s="152"/>
      <c r="F22" s="152"/>
      <c r="G22" s="152"/>
      <c r="H22" s="152"/>
      <c r="I22" s="153"/>
      <c r="J22" s="153"/>
      <c r="K22" s="153"/>
      <c r="L22" s="154"/>
    </row>
    <row r="23" spans="1:12" ht="12">
      <c r="A23" s="122" t="s">
        <v>141</v>
      </c>
      <c r="B23" s="123"/>
      <c r="C23" s="123"/>
      <c r="D23" s="123"/>
      <c r="E23" s="123"/>
      <c r="F23" s="123"/>
      <c r="G23" s="123"/>
      <c r="H23" s="123"/>
      <c r="I23" s="1">
        <v>15</v>
      </c>
      <c r="J23" s="30"/>
      <c r="K23" s="7">
        <v>286642</v>
      </c>
      <c r="L23" s="7"/>
    </row>
    <row r="24" spans="1:12" ht="12">
      <c r="A24" s="122" t="s">
        <v>142</v>
      </c>
      <c r="B24" s="123"/>
      <c r="C24" s="123"/>
      <c r="D24" s="123"/>
      <c r="E24" s="123"/>
      <c r="F24" s="123"/>
      <c r="G24" s="123"/>
      <c r="H24" s="123"/>
      <c r="I24" s="1">
        <v>16</v>
      </c>
      <c r="J24" s="30"/>
      <c r="K24" s="7"/>
      <c r="L24" s="7"/>
    </row>
    <row r="25" spans="1:12" ht="12">
      <c r="A25" s="122" t="s">
        <v>143</v>
      </c>
      <c r="B25" s="123"/>
      <c r="C25" s="123"/>
      <c r="D25" s="123"/>
      <c r="E25" s="123"/>
      <c r="F25" s="123"/>
      <c r="G25" s="123"/>
      <c r="H25" s="123"/>
      <c r="I25" s="1">
        <v>17</v>
      </c>
      <c r="J25" s="30"/>
      <c r="K25" s="7"/>
      <c r="L25" s="7"/>
    </row>
    <row r="26" spans="1:12" ht="12">
      <c r="A26" s="122" t="s">
        <v>144</v>
      </c>
      <c r="B26" s="123"/>
      <c r="C26" s="123"/>
      <c r="D26" s="123"/>
      <c r="E26" s="123"/>
      <c r="F26" s="123"/>
      <c r="G26" s="123"/>
      <c r="H26" s="123"/>
      <c r="I26" s="1">
        <v>18</v>
      </c>
      <c r="J26" s="30"/>
      <c r="K26" s="7"/>
      <c r="L26" s="7"/>
    </row>
    <row r="27" spans="1:12" ht="12">
      <c r="A27" s="122" t="s">
        <v>145</v>
      </c>
      <c r="B27" s="123"/>
      <c r="C27" s="123"/>
      <c r="D27" s="123"/>
      <c r="E27" s="123"/>
      <c r="F27" s="123"/>
      <c r="G27" s="123"/>
      <c r="H27" s="123"/>
      <c r="I27" s="1">
        <v>19</v>
      </c>
      <c r="J27" s="30"/>
      <c r="K27" s="7"/>
      <c r="L27" s="7">
        <v>3189143</v>
      </c>
    </row>
    <row r="28" spans="1:12" ht="12">
      <c r="A28" s="125" t="s">
        <v>131</v>
      </c>
      <c r="B28" s="126"/>
      <c r="C28" s="126"/>
      <c r="D28" s="126"/>
      <c r="E28" s="126"/>
      <c r="F28" s="126"/>
      <c r="G28" s="126"/>
      <c r="H28" s="126"/>
      <c r="I28" s="1">
        <v>20</v>
      </c>
      <c r="J28" s="30"/>
      <c r="K28" s="16">
        <f>SUM(K23:K27)</f>
        <v>286642</v>
      </c>
      <c r="L28" s="16">
        <f>SUM(L23:L27)</f>
        <v>3189143</v>
      </c>
    </row>
    <row r="29" spans="1:12" ht="12">
      <c r="A29" s="122" t="s">
        <v>96</v>
      </c>
      <c r="B29" s="123"/>
      <c r="C29" s="123"/>
      <c r="D29" s="123"/>
      <c r="E29" s="123"/>
      <c r="F29" s="123"/>
      <c r="G29" s="123"/>
      <c r="H29" s="123"/>
      <c r="I29" s="1">
        <v>21</v>
      </c>
      <c r="J29" s="30"/>
      <c r="K29" s="7">
        <v>4957022</v>
      </c>
      <c r="L29" s="7">
        <v>774671</v>
      </c>
    </row>
    <row r="30" spans="1:12" ht="12">
      <c r="A30" s="122" t="s">
        <v>97</v>
      </c>
      <c r="B30" s="123"/>
      <c r="C30" s="123"/>
      <c r="D30" s="123"/>
      <c r="E30" s="123"/>
      <c r="F30" s="123"/>
      <c r="G30" s="123"/>
      <c r="H30" s="123"/>
      <c r="I30" s="1">
        <v>22</v>
      </c>
      <c r="J30" s="30"/>
      <c r="K30" s="7"/>
      <c r="L30" s="7"/>
    </row>
    <row r="31" spans="1:12" ht="12">
      <c r="A31" s="122" t="s">
        <v>9</v>
      </c>
      <c r="B31" s="123"/>
      <c r="C31" s="123"/>
      <c r="D31" s="123"/>
      <c r="E31" s="123"/>
      <c r="F31" s="123"/>
      <c r="G31" s="123"/>
      <c r="H31" s="123"/>
      <c r="I31" s="1">
        <v>23</v>
      </c>
      <c r="J31" s="30"/>
      <c r="K31" s="7"/>
      <c r="L31" s="7">
        <f>673000+4357910+76250</f>
        <v>5107160</v>
      </c>
    </row>
    <row r="32" spans="1:12" ht="12">
      <c r="A32" s="125" t="s">
        <v>2</v>
      </c>
      <c r="B32" s="126"/>
      <c r="C32" s="126"/>
      <c r="D32" s="126"/>
      <c r="E32" s="126"/>
      <c r="F32" s="126"/>
      <c r="G32" s="126"/>
      <c r="H32" s="126"/>
      <c r="I32" s="1">
        <v>24</v>
      </c>
      <c r="J32" s="30"/>
      <c r="K32" s="16">
        <f>SUM(K29:K31)</f>
        <v>4957022</v>
      </c>
      <c r="L32" s="16">
        <f>SUM(L29:L31)</f>
        <v>5881831</v>
      </c>
    </row>
    <row r="33" spans="1:12" ht="24.75" customHeight="1">
      <c r="A33" s="125" t="s">
        <v>27</v>
      </c>
      <c r="B33" s="126"/>
      <c r="C33" s="126"/>
      <c r="D33" s="126"/>
      <c r="E33" s="126"/>
      <c r="F33" s="126"/>
      <c r="G33" s="126"/>
      <c r="H33" s="126"/>
      <c r="I33" s="1">
        <v>25</v>
      </c>
      <c r="J33" s="30"/>
      <c r="K33" s="16">
        <f>IF(K28&gt;K32,K28-K32,0)</f>
        <v>0</v>
      </c>
      <c r="L33" s="16">
        <f>IF(L28&gt;L32,L28-L32,0)</f>
        <v>0</v>
      </c>
    </row>
    <row r="34" spans="1:12" ht="24" customHeight="1">
      <c r="A34" s="125" t="s">
        <v>28</v>
      </c>
      <c r="B34" s="126"/>
      <c r="C34" s="126"/>
      <c r="D34" s="126"/>
      <c r="E34" s="126"/>
      <c r="F34" s="126"/>
      <c r="G34" s="126"/>
      <c r="H34" s="126"/>
      <c r="I34" s="1">
        <v>26</v>
      </c>
      <c r="J34" s="30"/>
      <c r="K34" s="16">
        <f>IF(K32&gt;K28,K32-K28,0)</f>
        <v>4670380</v>
      </c>
      <c r="L34" s="16">
        <f>IF(L32&gt;L28,L32-L28,0)</f>
        <v>2692688</v>
      </c>
    </row>
    <row r="35" spans="1:12" ht="12">
      <c r="A35" s="151" t="s">
        <v>128</v>
      </c>
      <c r="B35" s="152"/>
      <c r="C35" s="152"/>
      <c r="D35" s="152"/>
      <c r="E35" s="152"/>
      <c r="F35" s="152"/>
      <c r="G35" s="152"/>
      <c r="H35" s="152"/>
      <c r="I35" s="153"/>
      <c r="J35" s="153"/>
      <c r="K35" s="153"/>
      <c r="L35" s="154"/>
    </row>
    <row r="36" spans="1:12" ht="12">
      <c r="A36" s="122" t="s">
        <v>137</v>
      </c>
      <c r="B36" s="123"/>
      <c r="C36" s="123"/>
      <c r="D36" s="123"/>
      <c r="E36" s="123"/>
      <c r="F36" s="123"/>
      <c r="G36" s="123"/>
      <c r="H36" s="123"/>
      <c r="I36" s="1">
        <v>27</v>
      </c>
      <c r="J36" s="30"/>
      <c r="K36" s="7"/>
      <c r="L36" s="7"/>
    </row>
    <row r="37" spans="1:12" ht="12">
      <c r="A37" s="122" t="s">
        <v>18</v>
      </c>
      <c r="B37" s="123"/>
      <c r="C37" s="123"/>
      <c r="D37" s="123"/>
      <c r="E37" s="123"/>
      <c r="F37" s="123"/>
      <c r="G37" s="123"/>
      <c r="H37" s="123"/>
      <c r="I37" s="1">
        <v>28</v>
      </c>
      <c r="J37" s="30"/>
      <c r="K37" s="7">
        <v>0</v>
      </c>
      <c r="L37" s="7">
        <v>0</v>
      </c>
    </row>
    <row r="38" spans="1:12" ht="12">
      <c r="A38" s="122" t="s">
        <v>19</v>
      </c>
      <c r="B38" s="123"/>
      <c r="C38" s="123"/>
      <c r="D38" s="123"/>
      <c r="E38" s="123"/>
      <c r="F38" s="123"/>
      <c r="G38" s="123"/>
      <c r="H38" s="123"/>
      <c r="I38" s="1">
        <v>29</v>
      </c>
      <c r="J38" s="30"/>
      <c r="K38" s="7"/>
      <c r="L38" s="7"/>
    </row>
    <row r="39" spans="1:12" ht="12">
      <c r="A39" s="125" t="s">
        <v>54</v>
      </c>
      <c r="B39" s="126"/>
      <c r="C39" s="126"/>
      <c r="D39" s="126"/>
      <c r="E39" s="126"/>
      <c r="F39" s="126"/>
      <c r="G39" s="126"/>
      <c r="H39" s="126"/>
      <c r="I39" s="1">
        <v>30</v>
      </c>
      <c r="J39" s="30"/>
      <c r="K39" s="16">
        <f>SUM(K36:K38)</f>
        <v>0</v>
      </c>
      <c r="L39" s="16">
        <f>SUM(L36:L38)</f>
        <v>0</v>
      </c>
    </row>
    <row r="40" spans="1:12" ht="12">
      <c r="A40" s="122" t="s">
        <v>20</v>
      </c>
      <c r="B40" s="123"/>
      <c r="C40" s="123"/>
      <c r="D40" s="123"/>
      <c r="E40" s="123"/>
      <c r="F40" s="123"/>
      <c r="G40" s="123"/>
      <c r="H40" s="123"/>
      <c r="I40" s="1">
        <v>31</v>
      </c>
      <c r="J40" s="30"/>
      <c r="K40" s="7">
        <v>5030008</v>
      </c>
      <c r="L40" s="7">
        <v>4909440</v>
      </c>
    </row>
    <row r="41" spans="1:12" ht="12">
      <c r="A41" s="122" t="s">
        <v>21</v>
      </c>
      <c r="B41" s="123"/>
      <c r="C41" s="123"/>
      <c r="D41" s="123"/>
      <c r="E41" s="123"/>
      <c r="F41" s="123"/>
      <c r="G41" s="123"/>
      <c r="H41" s="123"/>
      <c r="I41" s="1">
        <v>32</v>
      </c>
      <c r="J41" s="30"/>
      <c r="K41" s="7"/>
      <c r="L41" s="7"/>
    </row>
    <row r="42" spans="1:12" ht="12">
      <c r="A42" s="122" t="s">
        <v>22</v>
      </c>
      <c r="B42" s="123"/>
      <c r="C42" s="123"/>
      <c r="D42" s="123"/>
      <c r="E42" s="123"/>
      <c r="F42" s="123"/>
      <c r="G42" s="123"/>
      <c r="H42" s="123"/>
      <c r="I42" s="1">
        <v>33</v>
      </c>
      <c r="J42" s="30"/>
      <c r="K42" s="7"/>
      <c r="L42" s="7"/>
    </row>
    <row r="43" spans="1:12" ht="12">
      <c r="A43" s="122" t="s">
        <v>23</v>
      </c>
      <c r="B43" s="123"/>
      <c r="C43" s="123"/>
      <c r="D43" s="123"/>
      <c r="E43" s="123"/>
      <c r="F43" s="123"/>
      <c r="G43" s="123"/>
      <c r="H43" s="123"/>
      <c r="I43" s="1">
        <v>34</v>
      </c>
      <c r="J43" s="30"/>
      <c r="K43" s="7"/>
      <c r="L43" s="7"/>
    </row>
    <row r="44" spans="1:12" ht="12">
      <c r="A44" s="122" t="s">
        <v>24</v>
      </c>
      <c r="B44" s="123"/>
      <c r="C44" s="123"/>
      <c r="D44" s="123"/>
      <c r="E44" s="123"/>
      <c r="F44" s="123"/>
      <c r="G44" s="123"/>
      <c r="H44" s="123"/>
      <c r="I44" s="1">
        <v>35</v>
      </c>
      <c r="J44" s="30"/>
      <c r="K44" s="7">
        <v>25733449</v>
      </c>
      <c r="L44" s="7"/>
    </row>
    <row r="45" spans="1:12" ht="12">
      <c r="A45" s="125" t="s">
        <v>55</v>
      </c>
      <c r="B45" s="126"/>
      <c r="C45" s="126"/>
      <c r="D45" s="126"/>
      <c r="E45" s="126"/>
      <c r="F45" s="126"/>
      <c r="G45" s="126"/>
      <c r="H45" s="126"/>
      <c r="I45" s="1">
        <v>36</v>
      </c>
      <c r="J45" s="30"/>
      <c r="K45" s="16">
        <f>SUM(K40:K44)</f>
        <v>30763457</v>
      </c>
      <c r="L45" s="16">
        <f>SUM(L40:L44)</f>
        <v>4909440</v>
      </c>
    </row>
    <row r="46" spans="1:12" ht="12">
      <c r="A46" s="125" t="s">
        <v>10</v>
      </c>
      <c r="B46" s="126"/>
      <c r="C46" s="126"/>
      <c r="D46" s="126"/>
      <c r="E46" s="126"/>
      <c r="F46" s="126"/>
      <c r="G46" s="126"/>
      <c r="H46" s="126"/>
      <c r="I46" s="1">
        <v>37</v>
      </c>
      <c r="J46" s="30"/>
      <c r="K46" s="16">
        <f>IF(K39&gt;K45,K39-K45,0)</f>
        <v>0</v>
      </c>
      <c r="L46" s="16">
        <f>IF(L39&gt;L45,L39-L45,0)</f>
        <v>0</v>
      </c>
    </row>
    <row r="47" spans="1:12" ht="12">
      <c r="A47" s="125" t="s">
        <v>11</v>
      </c>
      <c r="B47" s="126"/>
      <c r="C47" s="126"/>
      <c r="D47" s="126"/>
      <c r="E47" s="126"/>
      <c r="F47" s="126"/>
      <c r="G47" s="126"/>
      <c r="H47" s="126"/>
      <c r="I47" s="1">
        <v>38</v>
      </c>
      <c r="J47" s="30"/>
      <c r="K47" s="16">
        <f>IF(K45&gt;K39,K45-K39,0)</f>
        <v>30763457</v>
      </c>
      <c r="L47" s="16">
        <f>IF(L45&gt;L39,L45-L39,0)</f>
        <v>4909440</v>
      </c>
    </row>
    <row r="48" spans="1:12" ht="12">
      <c r="A48" s="122" t="s">
        <v>56</v>
      </c>
      <c r="B48" s="123"/>
      <c r="C48" s="123"/>
      <c r="D48" s="123"/>
      <c r="E48" s="123"/>
      <c r="F48" s="123"/>
      <c r="G48" s="123"/>
      <c r="H48" s="123"/>
      <c r="I48" s="1">
        <v>39</v>
      </c>
      <c r="J48" s="30"/>
      <c r="K48" s="14">
        <f>IF(K20-K21+K33-K34+K46-K47&gt;0,K20-K21+K33-K34+K46-K47,0)</f>
        <v>0</v>
      </c>
      <c r="L48" s="14">
        <f>IF(L20-L21+L33-L34+L46-L47&gt;0,L20-L21+L33-L34+L46-L47,0)</f>
        <v>0</v>
      </c>
    </row>
    <row r="49" spans="1:12" ht="12">
      <c r="A49" s="122" t="s">
        <v>57</v>
      </c>
      <c r="B49" s="123"/>
      <c r="C49" s="123"/>
      <c r="D49" s="123"/>
      <c r="E49" s="123"/>
      <c r="F49" s="123"/>
      <c r="G49" s="123"/>
      <c r="H49" s="123"/>
      <c r="I49" s="1">
        <v>40</v>
      </c>
      <c r="J49" s="30"/>
      <c r="K49" s="14">
        <f>IF(K21-K20+K34-K33+K47-K46&gt;0,K21-K20+K34-K33+K47-K46,0)</f>
        <v>3791534</v>
      </c>
      <c r="L49" s="14">
        <f>IF(L21-L20+L34-L33+L47-L46&gt;0,L21-L20+L34-L33+L47-L46,0)</f>
        <v>3644653</v>
      </c>
    </row>
    <row r="50" spans="1:12" ht="12">
      <c r="A50" s="122" t="s">
        <v>129</v>
      </c>
      <c r="B50" s="123"/>
      <c r="C50" s="123"/>
      <c r="D50" s="123"/>
      <c r="E50" s="123"/>
      <c r="F50" s="123"/>
      <c r="G50" s="123"/>
      <c r="H50" s="123"/>
      <c r="I50" s="1">
        <v>41</v>
      </c>
      <c r="J50" s="30"/>
      <c r="K50" s="7">
        <v>8656219</v>
      </c>
      <c r="L50" s="7">
        <f>K53</f>
        <v>4864685</v>
      </c>
    </row>
    <row r="51" spans="1:12" ht="12">
      <c r="A51" s="122" t="s">
        <v>138</v>
      </c>
      <c r="B51" s="123"/>
      <c r="C51" s="123"/>
      <c r="D51" s="123"/>
      <c r="E51" s="123"/>
      <c r="F51" s="123"/>
      <c r="G51" s="123"/>
      <c r="H51" s="123"/>
      <c r="I51" s="1">
        <v>42</v>
      </c>
      <c r="J51" s="30"/>
      <c r="K51" s="7">
        <f>K48</f>
        <v>0</v>
      </c>
      <c r="L51" s="7">
        <f>L48</f>
        <v>0</v>
      </c>
    </row>
    <row r="52" spans="1:12" ht="12">
      <c r="A52" s="122" t="s">
        <v>139</v>
      </c>
      <c r="B52" s="123"/>
      <c r="C52" s="123"/>
      <c r="D52" s="123"/>
      <c r="E52" s="123"/>
      <c r="F52" s="123"/>
      <c r="G52" s="123"/>
      <c r="H52" s="123"/>
      <c r="I52" s="1">
        <v>43</v>
      </c>
      <c r="J52" s="30"/>
      <c r="K52" s="7">
        <f>K49</f>
        <v>3791534</v>
      </c>
      <c r="L52" s="7">
        <f>L49</f>
        <v>3644653</v>
      </c>
    </row>
    <row r="53" spans="1:12" ht="12">
      <c r="A53" s="128" t="s">
        <v>140</v>
      </c>
      <c r="B53" s="129"/>
      <c r="C53" s="129"/>
      <c r="D53" s="129"/>
      <c r="E53" s="129"/>
      <c r="F53" s="129"/>
      <c r="G53" s="129"/>
      <c r="H53" s="129"/>
      <c r="I53" s="4">
        <v>44</v>
      </c>
      <c r="J53" s="32"/>
      <c r="K53" s="71">
        <f>K50+K51-K52</f>
        <v>4864685</v>
      </c>
      <c r="L53" s="71">
        <f>L50+L51-L52</f>
        <v>1220032</v>
      </c>
    </row>
    <row r="55" spans="11:12" ht="12">
      <c r="K55" s="68"/>
      <c r="L55" s="69"/>
    </row>
  </sheetData>
  <sheetProtection/>
  <mergeCells count="52">
    <mergeCell ref="A4:L4"/>
    <mergeCell ref="A1:L1"/>
    <mergeCell ref="A2:L2"/>
    <mergeCell ref="A9:H9"/>
    <mergeCell ref="A10:H10"/>
    <mergeCell ref="A11:H11"/>
    <mergeCell ref="A12:H12"/>
    <mergeCell ref="A5:H5"/>
    <mergeCell ref="A6:H6"/>
    <mergeCell ref="A7:L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L22"/>
    <mergeCell ref="A23:H23"/>
    <mergeCell ref="A24:H24"/>
    <mergeCell ref="A33:H33"/>
    <mergeCell ref="A34:H34"/>
    <mergeCell ref="A35:L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K40:L44 K8:L13 K15:L18 K29:L31 K36:L38 K23:L27 K50:L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4:L14 K53:L53 K19:L21 K32:L34 K45:L49 K28:L28 K39:L39">
      <formula1>0</formula1>
    </dataValidation>
  </dataValidations>
  <printOptions/>
  <pageMargins left="0.61" right="0.75" top="0.8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25"/>
  <sheetViews>
    <sheetView view="pageBreakPreview" zoomScaleSheetLayoutView="100" workbookViewId="0" topLeftCell="A1">
      <selection activeCell="K7" sqref="K7"/>
    </sheetView>
  </sheetViews>
  <sheetFormatPr defaultColWidth="9.140625" defaultRowHeight="12.75"/>
  <cols>
    <col min="1" max="4" width="9.140625" style="10" customWidth="1"/>
    <col min="5" max="5" width="10.140625" style="10" bestFit="1" customWidth="1"/>
    <col min="6" max="9" width="9.140625" style="10" customWidth="1"/>
    <col min="10" max="10" width="11.7109375" style="10" customWidth="1"/>
    <col min="11" max="11" width="13.140625" style="10" customWidth="1"/>
    <col min="12" max="16384" width="9.140625" style="10" customWidth="1"/>
  </cols>
  <sheetData>
    <row r="1" spans="1:11" ht="12">
      <c r="A1" s="166" t="s">
        <v>231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1" ht="12">
      <c r="A2" s="62"/>
      <c r="B2" s="63"/>
      <c r="C2" s="171" t="s">
        <v>232</v>
      </c>
      <c r="D2" s="171"/>
      <c r="E2" s="65">
        <v>41275</v>
      </c>
      <c r="F2" s="64" t="s">
        <v>202</v>
      </c>
      <c r="G2" s="172">
        <v>41639</v>
      </c>
      <c r="H2" s="173"/>
      <c r="I2" s="63"/>
      <c r="J2" s="63"/>
      <c r="K2" s="63"/>
    </row>
    <row r="3" spans="1:11" ht="24">
      <c r="A3" s="174" t="s">
        <v>45</v>
      </c>
      <c r="B3" s="174"/>
      <c r="C3" s="174"/>
      <c r="D3" s="174"/>
      <c r="E3" s="174"/>
      <c r="F3" s="174"/>
      <c r="G3" s="174"/>
      <c r="H3" s="174"/>
      <c r="I3" s="57" t="s">
        <v>286</v>
      </c>
      <c r="J3" s="57" t="s">
        <v>119</v>
      </c>
      <c r="K3" s="57" t="s">
        <v>120</v>
      </c>
    </row>
    <row r="4" spans="1:11" ht="12">
      <c r="A4" s="175">
        <v>1</v>
      </c>
      <c r="B4" s="175"/>
      <c r="C4" s="175"/>
      <c r="D4" s="175"/>
      <c r="E4" s="175"/>
      <c r="F4" s="175"/>
      <c r="G4" s="175"/>
      <c r="H4" s="175"/>
      <c r="I4" s="67">
        <v>2</v>
      </c>
      <c r="J4" s="66" t="s">
        <v>233</v>
      </c>
      <c r="K4" s="66" t="s">
        <v>234</v>
      </c>
    </row>
    <row r="5" spans="1:11" ht="12">
      <c r="A5" s="122" t="s">
        <v>235</v>
      </c>
      <c r="B5" s="123"/>
      <c r="C5" s="123"/>
      <c r="D5" s="123"/>
      <c r="E5" s="123"/>
      <c r="F5" s="123"/>
      <c r="G5" s="123"/>
      <c r="H5" s="123"/>
      <c r="I5" s="1">
        <v>1</v>
      </c>
      <c r="J5" s="13">
        <v>365478120</v>
      </c>
      <c r="K5" s="13">
        <v>365478120</v>
      </c>
    </row>
    <row r="6" spans="1:11" ht="12">
      <c r="A6" s="122" t="s">
        <v>236</v>
      </c>
      <c r="B6" s="123"/>
      <c r="C6" s="123"/>
      <c r="D6" s="123"/>
      <c r="E6" s="123"/>
      <c r="F6" s="123"/>
      <c r="G6" s="123"/>
      <c r="H6" s="123"/>
      <c r="I6" s="1">
        <v>2</v>
      </c>
      <c r="J6" s="7">
        <v>63379</v>
      </c>
      <c r="K6" s="7">
        <v>63379</v>
      </c>
    </row>
    <row r="7" spans="1:11" ht="12">
      <c r="A7" s="122" t="s">
        <v>237</v>
      </c>
      <c r="B7" s="123"/>
      <c r="C7" s="123"/>
      <c r="D7" s="123"/>
      <c r="E7" s="123"/>
      <c r="F7" s="123"/>
      <c r="G7" s="123"/>
      <c r="H7" s="123"/>
      <c r="I7" s="1">
        <v>3</v>
      </c>
      <c r="J7" s="7">
        <v>1344338</v>
      </c>
      <c r="K7" s="7">
        <v>1501921</v>
      </c>
    </row>
    <row r="8" spans="1:11" ht="12">
      <c r="A8" s="122" t="s">
        <v>238</v>
      </c>
      <c r="B8" s="123"/>
      <c r="C8" s="123"/>
      <c r="D8" s="123"/>
      <c r="E8" s="123"/>
      <c r="F8" s="123"/>
      <c r="G8" s="123"/>
      <c r="H8" s="123"/>
      <c r="I8" s="1">
        <v>4</v>
      </c>
      <c r="J8" s="7">
        <v>-12584063</v>
      </c>
      <c r="K8" s="7">
        <v>-9589996</v>
      </c>
    </row>
    <row r="9" spans="1:11" ht="12">
      <c r="A9" s="122" t="s">
        <v>239</v>
      </c>
      <c r="B9" s="123"/>
      <c r="C9" s="123"/>
      <c r="D9" s="123"/>
      <c r="E9" s="123"/>
      <c r="F9" s="123"/>
      <c r="G9" s="123"/>
      <c r="H9" s="123"/>
      <c r="I9" s="1">
        <v>5</v>
      </c>
      <c r="J9" s="7">
        <v>3151649</v>
      </c>
      <c r="K9" s="7">
        <v>-55242873</v>
      </c>
    </row>
    <row r="10" spans="1:11" ht="12">
      <c r="A10" s="122" t="s">
        <v>240</v>
      </c>
      <c r="B10" s="123"/>
      <c r="C10" s="123"/>
      <c r="D10" s="123"/>
      <c r="E10" s="123"/>
      <c r="F10" s="123"/>
      <c r="G10" s="123"/>
      <c r="H10" s="123"/>
      <c r="I10" s="1">
        <v>6</v>
      </c>
      <c r="J10" s="7"/>
      <c r="K10" s="7"/>
    </row>
    <row r="11" spans="1:11" ht="12">
      <c r="A11" s="122" t="s">
        <v>241</v>
      </c>
      <c r="B11" s="123"/>
      <c r="C11" s="123"/>
      <c r="D11" s="123"/>
      <c r="E11" s="123"/>
      <c r="F11" s="123"/>
      <c r="G11" s="123"/>
      <c r="H11" s="123"/>
      <c r="I11" s="1">
        <v>7</v>
      </c>
      <c r="J11" s="7"/>
      <c r="K11" s="7"/>
    </row>
    <row r="12" spans="1:11" ht="12">
      <c r="A12" s="122" t="s">
        <v>242</v>
      </c>
      <c r="B12" s="123"/>
      <c r="C12" s="123"/>
      <c r="D12" s="123"/>
      <c r="E12" s="123"/>
      <c r="F12" s="123"/>
      <c r="G12" s="123"/>
      <c r="H12" s="123"/>
      <c r="I12" s="1">
        <v>8</v>
      </c>
      <c r="J12" s="7"/>
      <c r="K12" s="7"/>
    </row>
    <row r="13" spans="1:11" ht="12">
      <c r="A13" s="122" t="s">
        <v>243</v>
      </c>
      <c r="B13" s="123"/>
      <c r="C13" s="123"/>
      <c r="D13" s="123"/>
      <c r="E13" s="123"/>
      <c r="F13" s="123"/>
      <c r="G13" s="123"/>
      <c r="H13" s="123"/>
      <c r="I13" s="1">
        <v>9</v>
      </c>
      <c r="J13" s="7"/>
      <c r="K13" s="7"/>
    </row>
    <row r="14" spans="1:11" ht="12">
      <c r="A14" s="125" t="s">
        <v>244</v>
      </c>
      <c r="B14" s="126"/>
      <c r="C14" s="126"/>
      <c r="D14" s="126"/>
      <c r="E14" s="126"/>
      <c r="F14" s="126"/>
      <c r="G14" s="126"/>
      <c r="H14" s="126"/>
      <c r="I14" s="1">
        <v>10</v>
      </c>
      <c r="J14" s="70">
        <f>SUM(J5:J13)</f>
        <v>357453423</v>
      </c>
      <c r="K14" s="70">
        <f>SUM(K5:K13)</f>
        <v>302210551</v>
      </c>
    </row>
    <row r="15" spans="1:11" ht="12">
      <c r="A15" s="122" t="s">
        <v>245</v>
      </c>
      <c r="B15" s="123"/>
      <c r="C15" s="123"/>
      <c r="D15" s="123"/>
      <c r="E15" s="123"/>
      <c r="F15" s="123"/>
      <c r="G15" s="123"/>
      <c r="H15" s="123"/>
      <c r="I15" s="1">
        <v>11</v>
      </c>
      <c r="J15" s="7"/>
      <c r="K15" s="7"/>
    </row>
    <row r="16" spans="1:11" ht="12">
      <c r="A16" s="122" t="s">
        <v>246</v>
      </c>
      <c r="B16" s="123"/>
      <c r="C16" s="123"/>
      <c r="D16" s="123"/>
      <c r="E16" s="123"/>
      <c r="F16" s="123"/>
      <c r="G16" s="123"/>
      <c r="H16" s="123"/>
      <c r="I16" s="1">
        <v>12</v>
      </c>
      <c r="J16" s="7"/>
      <c r="K16" s="7"/>
    </row>
    <row r="17" spans="1:11" ht="12">
      <c r="A17" s="122" t="s">
        <v>247</v>
      </c>
      <c r="B17" s="123"/>
      <c r="C17" s="123"/>
      <c r="D17" s="123"/>
      <c r="E17" s="123"/>
      <c r="F17" s="123"/>
      <c r="G17" s="123"/>
      <c r="H17" s="123"/>
      <c r="I17" s="1">
        <v>13</v>
      </c>
      <c r="J17" s="7"/>
      <c r="K17" s="7"/>
    </row>
    <row r="18" spans="1:11" ht="12">
      <c r="A18" s="122" t="s">
        <v>248</v>
      </c>
      <c r="B18" s="123"/>
      <c r="C18" s="123"/>
      <c r="D18" s="123"/>
      <c r="E18" s="123"/>
      <c r="F18" s="123"/>
      <c r="G18" s="123"/>
      <c r="H18" s="123"/>
      <c r="I18" s="1">
        <v>14</v>
      </c>
      <c r="J18" s="7"/>
      <c r="K18" s="7"/>
    </row>
    <row r="19" spans="1:11" ht="12">
      <c r="A19" s="122" t="s">
        <v>249</v>
      </c>
      <c r="B19" s="123"/>
      <c r="C19" s="123"/>
      <c r="D19" s="123"/>
      <c r="E19" s="123"/>
      <c r="F19" s="123"/>
      <c r="G19" s="123"/>
      <c r="H19" s="123"/>
      <c r="I19" s="1">
        <v>15</v>
      </c>
      <c r="J19" s="7"/>
      <c r="K19" s="7"/>
    </row>
    <row r="20" spans="1:11" ht="12">
      <c r="A20" s="122" t="s">
        <v>250</v>
      </c>
      <c r="B20" s="123"/>
      <c r="C20" s="123"/>
      <c r="D20" s="123"/>
      <c r="E20" s="123"/>
      <c r="F20" s="123"/>
      <c r="G20" s="123"/>
      <c r="H20" s="123"/>
      <c r="I20" s="1">
        <v>16</v>
      </c>
      <c r="J20" s="7"/>
      <c r="K20" s="7"/>
    </row>
    <row r="21" spans="1:11" ht="12">
      <c r="A21" s="125" t="s">
        <v>251</v>
      </c>
      <c r="B21" s="126"/>
      <c r="C21" s="126"/>
      <c r="D21" s="126"/>
      <c r="E21" s="126"/>
      <c r="F21" s="126"/>
      <c r="G21" s="126"/>
      <c r="H21" s="126"/>
      <c r="I21" s="1">
        <v>17</v>
      </c>
      <c r="J21" s="17">
        <f>SUM(J15:J20)</f>
        <v>0</v>
      </c>
      <c r="K21" s="17">
        <f>SUM(K15:K20)</f>
        <v>0</v>
      </c>
    </row>
    <row r="22" spans="1:11" ht="12">
      <c r="A22" s="114"/>
      <c r="B22" s="115"/>
      <c r="C22" s="115"/>
      <c r="D22" s="115"/>
      <c r="E22" s="115"/>
      <c r="F22" s="115"/>
      <c r="G22" s="115"/>
      <c r="H22" s="115"/>
      <c r="I22" s="169"/>
      <c r="J22" s="169"/>
      <c r="K22" s="170"/>
    </row>
    <row r="23" spans="1:11" ht="12">
      <c r="A23" s="162" t="s">
        <v>252</v>
      </c>
      <c r="B23" s="163"/>
      <c r="C23" s="163"/>
      <c r="D23" s="163"/>
      <c r="E23" s="163"/>
      <c r="F23" s="163"/>
      <c r="G23" s="163"/>
      <c r="H23" s="163"/>
      <c r="I23" s="58">
        <v>18</v>
      </c>
      <c r="J23" s="13"/>
      <c r="K23" s="13"/>
    </row>
    <row r="24" spans="1:11" ht="17.25" customHeight="1">
      <c r="A24" s="128" t="s">
        <v>253</v>
      </c>
      <c r="B24" s="129"/>
      <c r="C24" s="129"/>
      <c r="D24" s="129"/>
      <c r="E24" s="129"/>
      <c r="F24" s="129"/>
      <c r="G24" s="129"/>
      <c r="H24" s="129"/>
      <c r="I24" s="4">
        <v>19</v>
      </c>
      <c r="J24" s="53"/>
      <c r="K24" s="53"/>
    </row>
    <row r="25" spans="1:11" ht="30" customHeight="1">
      <c r="A25" s="164" t="s">
        <v>254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</sheetData>
  <sheetProtection/>
  <protectedRanges>
    <protectedRange sqref="G2:H2" name="Range1"/>
    <protectedRange sqref="E2" name="Range1_1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SheetLayoutView="100" workbookViewId="0" topLeftCell="A1">
      <selection activeCell="G29" sqref="G29"/>
    </sheetView>
  </sheetViews>
  <sheetFormatPr defaultColWidth="9.140625" defaultRowHeight="12.75"/>
  <cols>
    <col min="1" max="9" width="9.140625" style="20" customWidth="1"/>
    <col min="10" max="10" width="11.7109375" style="20" customWidth="1"/>
    <col min="11" max="16384" width="9.140625" style="20" customWidth="1"/>
  </cols>
  <sheetData>
    <row r="1" spans="1:10" ht="12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2">
      <c r="A2" s="176" t="s">
        <v>230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2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.75" customHeight="1">
      <c r="A4" s="177" t="s">
        <v>262</v>
      </c>
      <c r="B4" s="178"/>
      <c r="C4" s="178"/>
      <c r="D4" s="178"/>
      <c r="E4" s="178"/>
      <c r="F4" s="178"/>
      <c r="G4" s="178"/>
      <c r="H4" s="178"/>
      <c r="I4" s="178"/>
      <c r="J4" s="179"/>
    </row>
    <row r="5" spans="1:10" ht="12.75" customHeight="1">
      <c r="A5" s="180"/>
      <c r="B5" s="181"/>
      <c r="C5" s="181"/>
      <c r="D5" s="181"/>
      <c r="E5" s="181"/>
      <c r="F5" s="181"/>
      <c r="G5" s="181"/>
      <c r="H5" s="181"/>
      <c r="I5" s="181"/>
      <c r="J5" s="182"/>
    </row>
    <row r="6" spans="1:10" ht="12.75" customHeight="1">
      <c r="A6" s="180"/>
      <c r="B6" s="181"/>
      <c r="C6" s="181"/>
      <c r="D6" s="181"/>
      <c r="E6" s="181"/>
      <c r="F6" s="181"/>
      <c r="G6" s="181"/>
      <c r="H6" s="181"/>
      <c r="I6" s="181"/>
      <c r="J6" s="182"/>
    </row>
    <row r="7" spans="1:10" ht="12.75" customHeight="1">
      <c r="A7" s="180"/>
      <c r="B7" s="181"/>
      <c r="C7" s="181"/>
      <c r="D7" s="181"/>
      <c r="E7" s="181"/>
      <c r="F7" s="181"/>
      <c r="G7" s="181"/>
      <c r="H7" s="181"/>
      <c r="I7" s="181"/>
      <c r="J7" s="182"/>
    </row>
    <row r="8" spans="1:10" ht="12.75" customHeight="1">
      <c r="A8" s="180"/>
      <c r="B8" s="181"/>
      <c r="C8" s="181"/>
      <c r="D8" s="181"/>
      <c r="E8" s="181"/>
      <c r="F8" s="181"/>
      <c r="G8" s="181"/>
      <c r="H8" s="181"/>
      <c r="I8" s="181"/>
      <c r="J8" s="182"/>
    </row>
    <row r="9" spans="1:10" ht="12.75" customHeight="1">
      <c r="A9" s="180"/>
      <c r="B9" s="181"/>
      <c r="C9" s="181"/>
      <c r="D9" s="181"/>
      <c r="E9" s="181"/>
      <c r="F9" s="181"/>
      <c r="G9" s="181"/>
      <c r="H9" s="181"/>
      <c r="I9" s="181"/>
      <c r="J9" s="182"/>
    </row>
    <row r="10" spans="1:10" ht="12.75" customHeight="1">
      <c r="A10" s="180"/>
      <c r="B10" s="181"/>
      <c r="C10" s="181"/>
      <c r="D10" s="181"/>
      <c r="E10" s="181"/>
      <c r="F10" s="181"/>
      <c r="G10" s="181"/>
      <c r="H10" s="181"/>
      <c r="I10" s="181"/>
      <c r="J10" s="182"/>
    </row>
    <row r="11" spans="1:10" ht="12">
      <c r="A11" s="183"/>
      <c r="B11" s="183"/>
      <c r="C11" s="183"/>
      <c r="D11" s="183"/>
      <c r="E11" s="183"/>
      <c r="F11" s="183"/>
      <c r="G11" s="183"/>
      <c r="H11" s="183"/>
      <c r="I11" s="183"/>
      <c r="J11" s="183"/>
    </row>
    <row r="12" spans="1:10" ht="12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2">
      <c r="A13" s="60"/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2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2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2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2">
      <c r="A17" s="60"/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2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12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2">
      <c r="A20" s="60"/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2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2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2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">
      <c r="A26" s="60"/>
      <c r="B26" s="60"/>
      <c r="C26" s="60"/>
      <c r="D26" s="60"/>
      <c r="E26" s="60"/>
      <c r="F26" s="60"/>
      <c r="G26" s="60"/>
      <c r="H26" s="60"/>
      <c r="I26" s="61"/>
      <c r="J26" s="60"/>
    </row>
    <row r="27" spans="1:10" ht="12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2">
      <c r="A28" s="60"/>
      <c r="B28" s="60"/>
      <c r="C28" s="60"/>
      <c r="D28" s="60"/>
      <c r="E28" s="60"/>
      <c r="F28" s="60"/>
      <c r="G28" s="60"/>
      <c r="H28" s="60"/>
      <c r="I28" s="60"/>
      <c r="J28" s="60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2014-02-14T10:37:15Z</cp:lastPrinted>
  <dcterms:created xsi:type="dcterms:W3CDTF">2008-10-17T11:51:54Z</dcterms:created>
  <dcterms:modified xsi:type="dcterms:W3CDTF">2014-02-14T10:38:46Z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